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9" sheetId="7" r:id="rId7"/>
    <sheet name="13" sheetId="8" r:id="rId8"/>
    <sheet name="14" sheetId="9" r:id="rId9"/>
    <sheet name="16" sheetId="10" r:id="rId10"/>
    <sheet name="17" sheetId="11" r:id="rId11"/>
    <sheet name="18" sheetId="12" r:id="rId12"/>
    <sheet name="22" sheetId="13" r:id="rId13"/>
  </sheets>
  <definedNames>
    <definedName name="_xlfn_STDEV_P">#N/A</definedName>
    <definedName name="_xlfn_VAR_P">#N/A</definedName>
    <definedName name="_xlfn.VAR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<sst xmlns="http://schemas.openxmlformats.org/spreadsheetml/2006/main" count="322" uniqueCount="162">
  <si>
    <t>Quiz 1</t>
  </si>
  <si>
    <r>
      <rPr>
        <sz val="12"/>
        <rFont val="Liberation Serif;Times New Roman"/>
        <family val="1"/>
      </rPr>
      <t>Μια μετοχή</t>
    </r>
    <r>
      <rPr>
        <sz val="10"/>
        <rFont val="Arial"/>
        <family val="2"/>
      </rPr>
      <t xml:space="preserve"> πωλείται σήμερα για $ 40 ανά μετοχή. Στο τέλος του έτους, πληρώνει μέρισμα $ 2 ανά μετοχή και πωλείται για $ 44. </t>
    </r>
  </si>
  <si>
    <t xml:space="preserve">Ποιο είναι το συνολικό ποσοστό απόδοσης; </t>
  </si>
  <si>
    <t>Ποια είναι η μερισματική απόδοση και το ποσοστό κεφαλαιουχικού κέρδους;</t>
  </si>
  <si>
    <t>Αρχική τιμή μετοχής</t>
  </si>
  <si>
    <t>Μέρισμα ανά μετοχή</t>
  </si>
  <si>
    <t>Τιμή πώλησης ανά μετοχή</t>
  </si>
  <si>
    <t>Solution</t>
  </si>
  <si>
    <t>Συνολικό ποσοστό απόδοσης</t>
  </si>
  <si>
    <t>=</t>
  </si>
  <si>
    <t>Μερισματική απόδοση</t>
  </si>
  <si>
    <t>Απόδοση κεφαλαιουχικών κερδών</t>
  </si>
  <si>
    <t>Quiz 2</t>
  </si>
  <si>
    <t>Μια μετοχή πωλείται σήμερα για $ 40 ανά μετοχή. Στο τέλος του έτους, πληρώνει μέρισμα $ 2 ανά μετοχή και πωλείται για $ 44.</t>
  </si>
  <si>
    <t xml:space="preserve">Ας υποθέσουμε ότι η τιμή των μετοχών στο τέλος του έτους μετά την καταβολή του μερίσματος είναι $ 36. </t>
  </si>
  <si>
    <t xml:space="preserve">Ποια είναι η μερισματική απόδοση και ποιο το ποσοστό κεφαλαιακού κέρδους σε αυτή την περίπτωση; </t>
  </si>
  <si>
    <t>Γιατί δεν επηρεάζεται η μερισματική απόδοση;</t>
  </si>
  <si>
    <t>Τιμή πώλησης ανά μετοχή (Μετα το μέρισμα)</t>
  </si>
  <si>
    <t>Κεφαλαιακό κέρδος</t>
  </si>
  <si>
    <t>Η απόδοση μερισμάτων δεν επηρεάζεται. καθώς βασίζεται στην αρχική τιμή και όχι στην τελική τιμή.</t>
  </si>
  <si>
    <r>
      <rPr>
        <sz val="10"/>
        <rFont val="Arial"/>
        <family val="2"/>
      </rPr>
      <t xml:space="preserve">Αγοράζετε 100 μετοχές μιας εταιρείας για 40 δολάρια ανά μετοχή. </t>
    </r>
    <r>
      <rPr>
        <sz val="12"/>
        <rFont val="Liberation Serif;Times New Roman"/>
        <family val="1"/>
      </rPr>
      <t>Σ</t>
    </r>
    <r>
      <rPr>
        <sz val="10"/>
        <rFont val="Arial"/>
        <family val="2"/>
      </rPr>
      <t xml:space="preserve">το τέλος του έτους </t>
    </r>
    <r>
      <rPr>
        <sz val="12"/>
        <rFont val="Liberation Serif;Times New Roman"/>
        <family val="1"/>
      </rPr>
      <t>η μετοχή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>δίδει</t>
    </r>
    <r>
      <rPr>
        <sz val="10"/>
        <rFont val="Arial"/>
        <family val="2"/>
      </rPr>
      <t xml:space="preserve"> μέρισμα 2 δολ. ανά μετοχή. </t>
    </r>
  </si>
  <si>
    <r>
      <rPr>
        <sz val="10"/>
        <rFont val="Arial"/>
        <family val="2"/>
      </rPr>
      <t xml:space="preserve">Ποια είναι </t>
    </r>
    <r>
      <rPr>
        <sz val="12"/>
        <rFont val="Liberation Serif;Times New Roman"/>
        <family val="1"/>
      </rPr>
      <t xml:space="preserve">η ποσοστιαία απόδοση στο τέλος του έτους για τις μετοχές των εταιρειών </t>
    </r>
    <r>
      <rPr>
        <sz val="10"/>
        <rFont val="Arial"/>
        <family val="2"/>
      </rPr>
      <t>που αναφέρονται  στο φύλο 3 του excel;</t>
    </r>
  </si>
  <si>
    <r>
      <rPr>
        <sz val="10"/>
        <rFont val="Arial"/>
        <family val="2"/>
      </rPr>
      <t>Ποι</t>
    </r>
    <r>
      <rPr>
        <sz val="12"/>
        <rFont val="Liberation Serif;Times New Roman"/>
        <family val="1"/>
      </rPr>
      <t>ος</t>
    </r>
    <r>
      <rPr>
        <sz val="10"/>
        <rFont val="Arial"/>
        <family val="2"/>
      </rPr>
      <t xml:space="preserve"> είναι </t>
    </r>
    <r>
      <rPr>
        <sz val="12"/>
        <rFont val="Liberation Serif;Times New Roman"/>
        <family val="1"/>
      </rPr>
      <t>ο</t>
    </r>
    <r>
      <rPr>
        <sz val="10"/>
        <rFont val="Arial"/>
        <family val="2"/>
      </rPr>
      <t xml:space="preserve"> πραγματικός (προσαρμοσμέν</t>
    </r>
    <r>
      <rPr>
        <sz val="12"/>
        <rFont val="Liberation Serif;Times New Roman"/>
        <family val="1"/>
      </rPr>
      <t>ος</t>
    </r>
    <r>
      <rPr>
        <sz val="10"/>
        <rFont val="Arial"/>
        <family val="2"/>
      </rPr>
      <t xml:space="preserve"> </t>
    </r>
    <r>
      <rPr>
        <sz val="12"/>
        <rFont val="Liberation Serif;Times New Roman"/>
        <family val="1"/>
      </rPr>
      <t>για</t>
    </r>
    <r>
      <rPr>
        <sz val="10"/>
        <rFont val="Arial"/>
        <family val="2"/>
      </rPr>
      <t xml:space="preserve"> τον πληθωρισμό) ρυθμός απόδοσης; Υποθέστε πληθωρισμού ίσο με 4%.</t>
    </r>
  </si>
  <si>
    <t>a.</t>
  </si>
  <si>
    <t>b.</t>
  </si>
  <si>
    <t>c.</t>
  </si>
  <si>
    <t>Αρ, μετοχών</t>
  </si>
  <si>
    <t>Αρχική τιμή μετοχής ανά μετοχή</t>
  </si>
  <si>
    <t>Ρυθμός πληθωρισμού</t>
  </si>
  <si>
    <t>Ποσοστό απόδοσης</t>
  </si>
  <si>
    <t>Πραγματικό ποσοστό απόδοσης</t>
  </si>
  <si>
    <t>Quiz 4</t>
  </si>
  <si>
    <r>
      <rPr>
        <sz val="12"/>
        <rFont val="Liberation Serif;Times New Roman"/>
        <family val="1"/>
      </rPr>
      <t>ΧΧΧ</t>
    </r>
    <r>
      <rPr>
        <sz val="12"/>
        <rFont val=""/>
        <family val="1"/>
      </rPr>
      <t>:</t>
    </r>
  </si>
  <si>
    <t>Ηνωμένες Πολιτείες:</t>
  </si>
  <si>
    <t>ΧΧΧ: Πραγματική απόδοση</t>
  </si>
  <si>
    <t>United States: Πραγματική απόδοση</t>
  </si>
  <si>
    <t>Οι Ηνωμένες Πολιτείες παρέχουν το υψηλότερο πραγματικό ποσοστό απόδοσης παρά το χαμηλότερο ονομαστικό</t>
  </si>
  <si>
    <t>Σημειώστε ότι η κατά προσέγγιση σχέση μεταξύ πραγματικών και ονομαστικών ποσοστών απόδοσης ισχύει μόνο για χαμηλά ποσοστά:</t>
  </si>
  <si>
    <t>Πραγματικό ποσοστό απόδοσης = ονομαστικό ποσοστό απόδοσης - ποσοστό πληθωρισμού</t>
  </si>
  <si>
    <t>Αυτή η προσέγγιση υποδηλώνει λανθασμένα ότι το πραγματικό ποσοστό στην ΧΧΧ ήταν υψηλότερο από το πραγματικό ποσοστό των ΗΠΑ</t>
  </si>
  <si>
    <t>Quiz 5</t>
  </si>
  <si>
    <t xml:space="preserve">The inflation rate in the United States has averaged 3.1% a year since 1900. </t>
  </si>
  <si>
    <t xml:space="preserve">What was the average real rate of return on Treasury bills, Treasury bonds, </t>
  </si>
  <si>
    <t>and common stocks in that period? Use the data provided below:</t>
  </si>
  <si>
    <t>Table 11.1</t>
  </si>
  <si>
    <t>Χαρτοφυλάκιο</t>
  </si>
  <si>
    <t>Μέσο ετήσιο ποσοστό απόδοσης</t>
  </si>
  <si>
    <t>Μέσο ασφάλιστρο (Πρόσθετη απόδοση έναντι T-Bills)</t>
  </si>
  <si>
    <t>Έντοκα Γραμμάτια</t>
  </si>
  <si>
    <t>Κρατικά Ομόλογα</t>
  </si>
  <si>
    <t>Μετοχές</t>
  </si>
  <si>
    <t>Πληθωρισμός</t>
  </si>
  <si>
    <t>Κατηγορία περιουσιακών στοιχείων</t>
  </si>
  <si>
    <t>Ονομαστικό ποσοστό απόδοσης</t>
  </si>
  <si>
    <t>Quiz 7</t>
  </si>
  <si>
    <t xml:space="preserve">Ο συνοδευτικός πίνακας (βλέπε φύλο 7 στο excel) δείχνει τις ετήσιες τιμές των μετοχών στο Χρηματιστήριο της Costaguanan για την περίοδο 2005-2010. </t>
  </si>
  <si>
    <t>Κατασκευάστε ένα δείκτη του χρηματιστηρίου, χρησιμοποιώντας βάρη όπως στον Dow Jones, και έναν δεύτερο που χρησιμοποιεί βάρη όπως στο Standard &amp; Poor's Composite Index.</t>
  </si>
  <si>
    <t xml:space="preserve">Ετήσιες τιμές σε Costaguanan pegos </t>
  </si>
  <si>
    <t>Μόνο πέντε μετοχές διαπραγματεύθηκαν στις αρχές του 2005.</t>
  </si>
  <si>
    <t>Year</t>
  </si>
  <si>
    <t>San Tomé Mining, 184 million*</t>
  </si>
  <si>
    <t>Sulaco Markets, 42 million*</t>
  </si>
  <si>
    <t>National Central Railway, 64 million*</t>
  </si>
  <si>
    <t>Minerva Shipping, 38 million*</t>
  </si>
  <si>
    <t>Azuera, Inc., 16 million*</t>
  </si>
  <si>
    <t>*Αριθμός μετοχών σε κυκλοφορία.</t>
  </si>
  <si>
    <t>Average Price of  Stocks in Market</t>
  </si>
  <si>
    <t>Index (using DJIA method)</t>
  </si>
  <si>
    <t>Total Market Value of Stocks</t>
  </si>
  <si>
    <t>Index (using S&amp;P method)</t>
  </si>
  <si>
    <t>Practice Problem 9</t>
  </si>
  <si>
    <t>Ακολουθούν οι ποσοστιαίες αποδόσεις του χρηματιστηρίου και των Εντόκων Γραμματίων μεταξύ 2006 και 2010:</t>
  </si>
  <si>
    <t>Απόδοση Χρηματιστηρίου</t>
  </si>
  <si>
    <t>Απόδοση Εντόκων γραμματίων</t>
  </si>
  <si>
    <t>α. Ποιο ήταν το ασφάλιστρο κινδύνου για τα κοινά αποθέματα κάθε χρόνο;</t>
  </si>
  <si>
    <t>β. Ποιο ήταν το μέσο ασφάλιστρο κινδύνου;</t>
  </si>
  <si>
    <t>γ. Ποια ήταν η τυπική απόκλιση του ασφαλίστρου κινδύνου;</t>
  </si>
  <si>
    <t>Έτος</t>
  </si>
  <si>
    <t>Απόδοση T-Bill</t>
  </si>
  <si>
    <t xml:space="preserve"> ασφάλιστρο κινδύνου;</t>
  </si>
  <si>
    <t>Απόκλιση από το μέσο</t>
  </si>
  <si>
    <t>Τετράγωνη απόκλιση</t>
  </si>
  <si>
    <t>Συνολικό</t>
  </si>
  <si>
    <t>Μέσο</t>
  </si>
  <si>
    <t>μέσο ασφάλιστρο κινδύνου;</t>
  </si>
  <si>
    <t>Διακύμανση</t>
  </si>
  <si>
    <t>Τυπική Απόκλιση</t>
  </si>
  <si>
    <t>Practice Problem 13</t>
  </si>
  <si>
    <t xml:space="preserve">Η κορυφαία διαχειριστής hedge fund Diana Sauros πιστεύει ότι μια μετοχή με τον ίδιο κίνδυνο με αγοράς με τον δείκτη  S&amp;P 500 </t>
  </si>
  <si>
    <t>θα πουληθεί στο τέλος του έτους στην τιμή των 50 $. Η μετοχή θα δώσει μέρισμα στο τέλος του έτους ίσο με 2 $.</t>
  </si>
  <si>
    <t>Ποια τιμή πρέπει να είναι πρόθυμη να πληρώσει σήμερα για την μετοχή;</t>
  </si>
  <si>
    <t>Ιστορικό ασφάλιστρο κινδύνου του S&amp;P 500</t>
  </si>
  <si>
    <t>Τρέχον επιτόκιο μηδενικού κινδύνου</t>
  </si>
  <si>
    <t xml:space="preserve">Τιμή πώλησης ανά μετοχή στο τέλος του έτους </t>
  </si>
  <si>
    <t>Αναμενόμενο ποσοστό απόδοσης</t>
  </si>
  <si>
    <t>Με βάση το ιστορικό ασφάλιστρο κινδύνου του S&amp;P 500 (8%) και το τρέχον επίπεδο του επιτοκίου χωρίς κίνδυνο (περίπου 4%),  11%</t>
  </si>
  <si>
    <t>θα μπορούσε κανείς να προβλέψει ένα αναμενόμενο ποσοστό απόδοσης</t>
  </si>
  <si>
    <t>Εάν η μετοχή έχει τον ίδιο συστηματικό κίνδυνο, θα πρέπει επίσης να έχει την ίδια αναμενόμενη απόδοση.</t>
  </si>
  <si>
    <t>Επομένως, η τιμή της μετοχής ισούται με την παρούσα αξία των ταμειακών ροών για έναν ορίζοντα 1 έτους.</t>
  </si>
  <si>
    <t>Present value</t>
  </si>
  <si>
    <t>Practice Problem 14</t>
  </si>
  <si>
    <t>Η κοινή μετοχή της Leaning Tower of Pita, Inc., μια αλυσίδα εστιατορίων, θα δημιουργήσει τις ακόλουθες χρηματοροές στους επενδυτές το επόμενο έτος:</t>
  </si>
  <si>
    <t>Dividend</t>
  </si>
  <si>
    <t>Stock Price</t>
  </si>
  <si>
    <t>Αναπτυσσόμενη οικονομία</t>
  </si>
  <si>
    <t>Σταθερή οικονομία</t>
  </si>
  <si>
    <t>Ύφεση</t>
  </si>
  <si>
    <t xml:space="preserve">Με  ύφεση η εταιρεία θα πτωχεύσει. </t>
  </si>
  <si>
    <t>Υπολογίστε το αναμενόμενο ποσοστό απόδοσης και την τυπική απόκλιση απόδοσης στους μετόχους του Leaning Tower of Pita.</t>
  </si>
  <si>
    <t>Τιμή πώλησης</t>
  </si>
  <si>
    <t>αναμενόμενη απόδοση</t>
  </si>
  <si>
    <t>Τυπική απόκλιση</t>
  </si>
  <si>
    <t>Practice Problem 16</t>
  </si>
  <si>
    <r>
      <rPr>
        <sz val="10"/>
        <rFont val="Arial"/>
        <family val="2"/>
      </rPr>
      <t xml:space="preserve">Η κοινή μετοχή της Escapist Films πωλεί για 25 $ ανά μετοχή και προσφέρει τις ακόλουθες </t>
    </r>
    <r>
      <rPr>
        <sz val="12"/>
        <rFont val="Liberation Serif;Times New Roman"/>
        <family val="1"/>
      </rPr>
      <t>χρηματοροές το επόμενο έτος:</t>
    </r>
  </si>
  <si>
    <t>Escapist Films:</t>
  </si>
  <si>
    <t>Leaning Tower of Pita:</t>
  </si>
  <si>
    <t>Αναμενόμενη απόδοση</t>
  </si>
  <si>
    <t xml:space="preserve">Υπολογίστε την αναμενόμενη απόδοση και την τυπική απόκλιση του Escapist. </t>
  </si>
  <si>
    <t xml:space="preserve">Και τα τρία σενάρια είναι εξίσου πιθανά. </t>
  </si>
  <si>
    <t xml:space="preserve">Στη συνέχεια, υπολογίστε την αναμενόμενη απόδοση και την τυπική απόκλιση ενός χαρτοφυλακίου που επενδύεται κατά το ήμισυ στο Escapist και το μισό από τον Πύργο της Πίτας. </t>
  </si>
  <si>
    <t>Δείξτε ότι η τυπική απόκλιση χαρτοφυλακίου είναι χαμηλότερη από οποιαδήποτε από τις μετοχές.</t>
  </si>
  <si>
    <t>Απόδοση Χαρτοφυλακίου</t>
  </si>
  <si>
    <t>Practice Problem 17</t>
  </si>
  <si>
    <t>Consider the following scenario analysis:</t>
  </si>
  <si>
    <t>Scenario</t>
  </si>
  <si>
    <t>Probability</t>
  </si>
  <si>
    <t>Rate of Return</t>
  </si>
  <si>
    <t xml:space="preserve">Stocks </t>
  </si>
  <si>
    <t>Bonds</t>
  </si>
  <si>
    <t>Αναπτυσσόμενη οικονομία+</t>
  </si>
  <si>
    <t>Είναι λογικό να υποθέσουμε ότι τα ομόλογα του Δημοσίου θα προσφέρουν υψηλότερες αποδόσεις σε ύφεση από  ότι σε άνθηση;</t>
  </si>
  <si>
    <t>Υπολογίστε το αναμενόμενο ποσοστό απόδοσης και την τυπική απόκλιση για κάθε επένδυση.</t>
  </si>
  <si>
    <t>Ποια επένδυση θα προτιμούσατε;</t>
  </si>
  <si>
    <t>Τα επιτόκια τείνουν να μειώνονται στην αρχή της ύφεσης και να αυξάνονται κατά τη διάρκεια των περιόδων άνθησης.</t>
  </si>
  <si>
    <t>Επειδή οι τιμές των ομολόγων κινούνται αντίστροφα με τα επιτόκια, τα ομόλογα παρέχουν υψηλότερες αποδόσεις κατά την ύφεση όταν τα επιτόκια πέφτουν.</t>
  </si>
  <si>
    <t>Μετοχή</t>
  </si>
  <si>
    <t>Ομόλογα</t>
  </si>
  <si>
    <t xml:space="preserve">Οι μετοχές έχουν τόσο υψηλότερη αναμενόμενη απόδοση όσο και μεγαλύτερη μεταβλητότητα. </t>
  </si>
  <si>
    <t>Οι επενδυτές που αποφεύγουν τον κίνδυνο θα επιλέξουν ομόλογα.</t>
  </si>
  <si>
    <t>Practice Problem 18</t>
  </si>
  <si>
    <t>Χρησιμοποιήστε τα παρακάτω δεδομένα και εξετάστε ένα χαρτοφυλάκιο με βάρη 0,60 σε μετοχές και 0,40 σε ομόλογα.</t>
  </si>
  <si>
    <t>Βάρη</t>
  </si>
  <si>
    <t>Ποιο είναι το ποσοστό απόδοσης του χαρτοφυλακίου σε κάθε σενάριο;</t>
  </si>
  <si>
    <t>Ποιο είναι το αναμενόμενο ποσοστό απόδοσης και η τυπική απόκλιση του χαρτοφυλακίου;</t>
  </si>
  <si>
    <t>Θα προτιμούσατε να επενδύσετε στο χαρτοφυλάκιο, μόνο σε μετοχές ή μόνο σε ομόλογα;</t>
  </si>
  <si>
    <t>Mean Return</t>
  </si>
  <si>
    <t>Std.Dev.</t>
  </si>
  <si>
    <t>Stocks</t>
  </si>
  <si>
    <t>Portfolio</t>
  </si>
  <si>
    <t>Η καλύτερη επιλογή εξαρτάται από το βαθμό απέχθειας που έχετε στον κίνδυνο.</t>
  </si>
  <si>
    <t xml:space="preserve">most people would choose the portfolio over stocks since the portfolio has almost the same </t>
  </si>
  <si>
    <t>return with much lower volatility. This is the advantage of diversification.</t>
  </si>
  <si>
    <t>Practice Problem 22</t>
  </si>
  <si>
    <t>Μια μετοχή θα έχει ποσοστό απόδοσης είτε -18% είτε + 26%.</t>
  </si>
  <si>
    <t>Πιθανότητα</t>
  </si>
  <si>
    <t>Απόδοση</t>
  </si>
  <si>
    <t>Εάν και οι δύο δυνατότητες είναι εξίσου πιθανές, υπολογίστε την αναμενόμενη απόδοση και την τυπική απόκλιση.</t>
  </si>
  <si>
    <t xml:space="preserve">Εάν τα έντοκα γραμμάτια αποδίδουν 4% και οι επενδυτές πιστεύουν ότι η μετοχή προσφέρει ικανοποιητική αναμενόμενη απόδοση, </t>
  </si>
  <si>
    <t>ποιος πρέπει να είναι ο κίνδυνος αγοράς της μετοχής;</t>
  </si>
  <si>
    <t xml:space="preserve">Επειδή η μετοχή προσφέρει ασφάλιστρο κινδύνου μηδέν (η αναμενόμενη απόδοσή του είναι η ίδια με την αναμενόμενη απόδοση των λογαριασμών του Δημοσίου), </t>
  </si>
  <si>
    <t xml:space="preserve">δεν πρέπει να έχει κίνδυνο αγοράς. </t>
  </si>
  <si>
    <t>Όλος ο κίνδυνος πρέπει να είναι διαφοροποιήσιμος και επομένως να μην ενδιαφέρει τους επενδυτές.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</si>
</sst>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(\$* #,##0.00_);_(\$* \(#,##0.00\);_(\$* \-??_);_(@_)"/>
    <numFmt numFmtId="166" formatCode="_(* #,##0.00_);_(* \(#,##0.00\);_(* \-??_);_(@_)"/>
    <numFmt numFmtId="167" formatCode="0.00%"/>
    <numFmt numFmtId="168" formatCode="0%"/>
    <numFmt numFmtId="169" formatCode="0.0%"/>
    <numFmt numFmtId="170" formatCode="General"/>
    <numFmt numFmtId="171" formatCode="_(\$* #,##0.000_);_(\$* \(#,##0.000\);_(\$* \-??_);_(@_)"/>
    <numFmt numFmtId="172" formatCode="_(* #,##0.000_);_(* \(#,##0.000\);_(* \-??_);_(@_)"/>
    <numFmt numFmtId="173" formatCode="#,##0.000"/>
    <numFmt numFmtId="174" formatCode="[h]:mm:ss"/>
    <numFmt numFmtId="175" formatCode="0.000"/>
    <numFmt numFmtId="176" formatCode="0.00"/>
    <numFmt numFmtId="177" formatCode="#,##0.00"/>
    <numFmt numFmtId="178" formatCode="0.000000000000000000"/>
    <numFmt numFmtId="179" formatCode="\$#,##0.00"/>
    <numFmt numFmtId="180" formatCode="\$#,##0"/>
    <numFmt numFmtId="181" formatCode="0.00000%"/>
  </numFmts>
  <fonts count="18">
    <font>
      <sz val="10"/>
      <name val="Arial"/>
      <family val="2"/>
    </font>
    <font>
      <b/>
      <sz val="10"/>
      <color indexed="25"/>
      <name val="Arial"/>
      <family val="2"/>
    </font>
    <font>
      <sz val="12"/>
      <name val="Liberation Serif;Times New Roman"/>
      <family val="1"/>
    </font>
    <font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2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left" inden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15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6" fillId="0" borderId="7" xfId="0" applyFont="1" applyBorder="1" applyAlignment="1">
      <alignment horizontal="left" indent="1"/>
    </xf>
    <xf numFmtId="164" fontId="0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/>
    </xf>
    <xf numFmtId="164" fontId="0" fillId="0" borderId="8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15" applyFont="1" applyFill="1" applyBorder="1" applyAlignment="1" applyProtection="1">
      <alignment/>
      <protection/>
    </xf>
    <xf numFmtId="164" fontId="0" fillId="0" borderId="2" xfId="0" applyFont="1" applyBorder="1" applyAlignment="1">
      <alignment horizontal="left" indent="1"/>
    </xf>
    <xf numFmtId="165" fontId="7" fillId="0" borderId="0" xfId="0" applyNumberFormat="1" applyFont="1" applyBorder="1" applyAlignment="1">
      <alignment/>
    </xf>
    <xf numFmtId="164" fontId="0" fillId="0" borderId="7" xfId="0" applyFont="1" applyBorder="1" applyAlignment="1">
      <alignment horizontal="left" indent="1"/>
    </xf>
    <xf numFmtId="164" fontId="0" fillId="0" borderId="7" xfId="0" applyFont="1" applyFill="1" applyBorder="1" applyAlignment="1">
      <alignment horizontal="left" indent="1"/>
    </xf>
    <xf numFmtId="165" fontId="4" fillId="0" borderId="0" xfId="0" applyNumberFormat="1" applyFont="1" applyAlignment="1">
      <alignment/>
    </xf>
    <xf numFmtId="165" fontId="4" fillId="0" borderId="9" xfId="0" applyNumberFormat="1" applyFont="1" applyBorder="1" applyAlignment="1">
      <alignment/>
    </xf>
    <xf numFmtId="167" fontId="4" fillId="0" borderId="9" xfId="19" applyNumberFormat="1" applyFont="1" applyFill="1" applyBorder="1" applyAlignment="1" applyProtection="1">
      <alignment/>
      <protection/>
    </xf>
    <xf numFmtId="167" fontId="7" fillId="0" borderId="0" xfId="19" applyNumberFormat="1" applyFont="1" applyFill="1" applyBorder="1" applyAlignment="1" applyProtection="1">
      <alignment/>
      <protection/>
    </xf>
    <xf numFmtId="168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8" xfId="0" applyFont="1" applyBorder="1" applyAlignment="1">
      <alignment/>
    </xf>
    <xf numFmtId="164" fontId="2" fillId="0" borderId="1" xfId="0" applyFont="1" applyBorder="1" applyAlignment="1">
      <alignment horizontal="left" indent="1"/>
    </xf>
    <xf numFmtId="167" fontId="4" fillId="0" borderId="1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9" fillId="0" borderId="1" xfId="0" applyFont="1" applyBorder="1" applyAlignment="1">
      <alignment horizontal="left" indent="1"/>
    </xf>
    <xf numFmtId="164" fontId="5" fillId="0" borderId="0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2" fillId="0" borderId="12" xfId="0" applyFont="1" applyBorder="1" applyAlignment="1">
      <alignment horizontal="left" indent="1"/>
    </xf>
    <xf numFmtId="167" fontId="4" fillId="0" borderId="8" xfId="19" applyNumberFormat="1" applyFont="1" applyFill="1" applyBorder="1" applyAlignment="1" applyProtection="1">
      <alignment horizontal="right"/>
      <protection/>
    </xf>
    <xf numFmtId="164" fontId="4" fillId="0" borderId="8" xfId="0" applyFont="1" applyBorder="1" applyAlignment="1">
      <alignment horizontal="right"/>
    </xf>
    <xf numFmtId="167" fontId="4" fillId="0" borderId="1" xfId="19" applyNumberFormat="1" applyFont="1" applyFill="1" applyBorder="1" applyAlignment="1" applyProtection="1">
      <alignment horizontal="right"/>
      <protection/>
    </xf>
    <xf numFmtId="164" fontId="0" fillId="0" borderId="12" xfId="0" applyFont="1" applyBorder="1" applyAlignment="1">
      <alignment horizontal="left" indent="1"/>
    </xf>
    <xf numFmtId="164" fontId="0" fillId="0" borderId="13" xfId="0" applyFont="1" applyBorder="1" applyAlignment="1">
      <alignment horizontal="left" indent="1"/>
    </xf>
    <xf numFmtId="169" fontId="4" fillId="0" borderId="11" xfId="19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left" indent="1"/>
    </xf>
    <xf numFmtId="164" fontId="6" fillId="0" borderId="7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7" fillId="0" borderId="7" xfId="19" applyNumberFormat="1" applyFont="1" applyFill="1" applyBorder="1" applyAlignment="1" applyProtection="1">
      <alignment horizontal="right"/>
      <protection/>
    </xf>
    <xf numFmtId="167" fontId="0" fillId="0" borderId="1" xfId="0" applyNumberFormat="1" applyFont="1" applyBorder="1" applyAlignment="1">
      <alignment horizontal="right"/>
    </xf>
    <xf numFmtId="167" fontId="7" fillId="0" borderId="2" xfId="19" applyNumberFormat="1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 horizontal="left" indent="1"/>
    </xf>
    <xf numFmtId="169" fontId="0" fillId="0" borderId="13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67" fontId="7" fillId="0" borderId="9" xfId="19" applyNumberFormat="1" applyFont="1" applyFill="1" applyBorder="1" applyAlignment="1" applyProtection="1">
      <alignment horizontal="center"/>
      <protection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17" applyFont="1" applyFill="1" applyBorder="1" applyAlignment="1" applyProtection="1">
      <alignment/>
      <protection/>
    </xf>
    <xf numFmtId="164" fontId="0" fillId="0" borderId="12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0" fillId="0" borderId="13" xfId="0" applyBorder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71" fontId="12" fillId="0" borderId="12" xfId="17" applyNumberFormat="1" applyFont="1" applyFill="1" applyBorder="1" applyAlignment="1" applyProtection="1">
      <alignment/>
      <protection/>
    </xf>
    <xf numFmtId="172" fontId="7" fillId="0" borderId="12" xfId="17" applyNumberFormat="1" applyFont="1" applyFill="1" applyBorder="1" applyAlignment="1" applyProtection="1">
      <alignment/>
      <protection/>
    </xf>
    <xf numFmtId="172" fontId="7" fillId="0" borderId="8" xfId="17" applyNumberFormat="1" applyFont="1" applyFill="1" applyBorder="1" applyAlignment="1" applyProtection="1">
      <alignment/>
      <protection/>
    </xf>
    <xf numFmtId="172" fontId="12" fillId="0" borderId="1" xfId="17" applyNumberFormat="1" applyFont="1" applyFill="1" applyBorder="1" applyAlignment="1" applyProtection="1">
      <alignment/>
      <protection/>
    </xf>
    <xf numFmtId="172" fontId="7" fillId="0" borderId="1" xfId="17" applyNumberFormat="1" applyFont="1" applyFill="1" applyBorder="1" applyAlignment="1" applyProtection="1">
      <alignment/>
      <protection/>
    </xf>
    <xf numFmtId="173" fontId="6" fillId="0" borderId="0" xfId="0" applyNumberFormat="1" applyFont="1" applyAlignment="1">
      <alignment/>
    </xf>
    <xf numFmtId="172" fontId="12" fillId="0" borderId="12" xfId="17" applyNumberFormat="1" applyFont="1" applyFill="1" applyBorder="1" applyAlignment="1" applyProtection="1">
      <alignment/>
      <protection/>
    </xf>
    <xf numFmtId="166" fontId="0" fillId="0" borderId="13" xfId="0" applyNumberFormat="1" applyBorder="1" applyAlignment="1">
      <alignment/>
    </xf>
    <xf numFmtId="166" fontId="0" fillId="0" borderId="11" xfId="0" applyNumberFormat="1" applyBorder="1" applyAlignment="1">
      <alignment/>
    </xf>
    <xf numFmtId="174" fontId="0" fillId="0" borderId="0" xfId="0" applyNumberFormat="1" applyFont="1" applyAlignment="1">
      <alignment/>
    </xf>
    <xf numFmtId="164" fontId="13" fillId="0" borderId="1" xfId="0" applyFont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wrapText="1"/>
    </xf>
    <xf numFmtId="175" fontId="4" fillId="0" borderId="1" xfId="0" applyNumberFormat="1" applyFont="1" applyBorder="1" applyAlignment="1">
      <alignment/>
    </xf>
    <xf numFmtId="164" fontId="0" fillId="0" borderId="0" xfId="19" applyNumberFormat="1" applyFont="1" applyFill="1" applyBorder="1" applyAlignment="1" applyProtection="1">
      <alignment/>
      <protection/>
    </xf>
    <xf numFmtId="164" fontId="6" fillId="0" borderId="15" xfId="0" applyFont="1" applyBorder="1" applyAlignment="1">
      <alignment horizontal="center" vertical="center" wrapText="1"/>
    </xf>
    <xf numFmtId="164" fontId="15" fillId="0" borderId="15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/>
    </xf>
    <xf numFmtId="176" fontId="12" fillId="0" borderId="2" xfId="0" applyNumberFormat="1" applyFont="1" applyBorder="1" applyAlignment="1">
      <alignment/>
    </xf>
    <xf numFmtId="164" fontId="12" fillId="0" borderId="8" xfId="0" applyFont="1" applyBorder="1" applyAlignment="1">
      <alignment/>
    </xf>
    <xf numFmtId="176" fontId="7" fillId="0" borderId="15" xfId="0" applyNumberFormat="1" applyFont="1" applyBorder="1" applyAlignment="1">
      <alignment/>
    </xf>
    <xf numFmtId="164" fontId="12" fillId="0" borderId="3" xfId="0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64" fontId="0" fillId="0" borderId="13" xfId="0" applyFont="1" applyBorder="1" applyAlignment="1">
      <alignment horizontal="center"/>
    </xf>
    <xf numFmtId="175" fontId="0" fillId="0" borderId="13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12" fillId="0" borderId="13" xfId="0" applyNumberFormat="1" applyFont="1" applyBorder="1" applyAlignment="1">
      <alignment/>
    </xf>
    <xf numFmtId="175" fontId="12" fillId="0" borderId="9" xfId="0" applyNumberFormat="1" applyFont="1" applyBorder="1" applyAlignment="1">
      <alignment/>
    </xf>
    <xf numFmtId="164" fontId="12" fillId="0" borderId="11" xfId="0" applyFont="1" applyBorder="1" applyAlignment="1">
      <alignment/>
    </xf>
    <xf numFmtId="164" fontId="15" fillId="0" borderId="7" xfId="0" applyFont="1" applyBorder="1" applyAlignment="1">
      <alignment horizontal="left" indent="1"/>
    </xf>
    <xf numFmtId="176" fontId="0" fillId="0" borderId="0" xfId="0" applyNumberFormat="1" applyFont="1" applyBorder="1" applyAlignment="1">
      <alignment horizontal="center"/>
    </xf>
    <xf numFmtId="167" fontId="7" fillId="0" borderId="8" xfId="19" applyNumberFormat="1" applyFont="1" applyFill="1" applyBorder="1" applyAlignment="1" applyProtection="1">
      <alignment/>
      <protection/>
    </xf>
    <xf numFmtId="164" fontId="6" fillId="0" borderId="9" xfId="0" applyFont="1" applyBorder="1" applyAlignment="1">
      <alignment/>
    </xf>
    <xf numFmtId="164" fontId="7" fillId="0" borderId="11" xfId="0" applyFont="1" applyBorder="1" applyAlignment="1">
      <alignment/>
    </xf>
    <xf numFmtId="176" fontId="12" fillId="0" borderId="8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left" indent="1"/>
    </xf>
    <xf numFmtId="167" fontId="12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left" indent="1"/>
    </xf>
    <xf numFmtId="164" fontId="6" fillId="0" borderId="7" xfId="0" applyFont="1" applyBorder="1" applyAlignment="1">
      <alignment horizontal="left" indent="6"/>
    </xf>
    <xf numFmtId="164" fontId="0" fillId="0" borderId="2" xfId="0" applyBorder="1" applyAlignment="1">
      <alignment/>
    </xf>
    <xf numFmtId="164" fontId="0" fillId="0" borderId="15" xfId="0" applyBorder="1" applyAlignment="1">
      <alignment/>
    </xf>
    <xf numFmtId="164" fontId="0" fillId="0" borderId="3" xfId="0" applyBorder="1" applyAlignment="1">
      <alignment/>
    </xf>
    <xf numFmtId="164" fontId="6" fillId="0" borderId="15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14" fillId="0" borderId="2" xfId="0" applyFont="1" applyBorder="1" applyAlignment="1">
      <alignment horizontal="left" indent="1"/>
    </xf>
    <xf numFmtId="165" fontId="4" fillId="0" borderId="15" xfId="17" applyFont="1" applyFill="1" applyBorder="1" applyAlignment="1" applyProtection="1">
      <alignment/>
      <protection/>
    </xf>
    <xf numFmtId="165" fontId="0" fillId="0" borderId="3" xfId="17" applyFont="1" applyFill="1" applyBorder="1" applyAlignment="1" applyProtection="1">
      <alignment/>
      <protection/>
    </xf>
    <xf numFmtId="165" fontId="4" fillId="0" borderId="3" xfId="17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6" fontId="4" fillId="0" borderId="0" xfId="15" applyFont="1" applyFill="1" applyBorder="1" applyAlignment="1" applyProtection="1">
      <alignment/>
      <protection/>
    </xf>
    <xf numFmtId="166" fontId="0" fillId="0" borderId="8" xfId="15" applyFont="1" applyFill="1" applyBorder="1" applyAlignment="1" applyProtection="1">
      <alignment/>
      <protection/>
    </xf>
    <xf numFmtId="166" fontId="4" fillId="0" borderId="8" xfId="15" applyFont="1" applyFill="1" applyBorder="1" applyAlignment="1" applyProtection="1">
      <alignment/>
      <protection/>
    </xf>
    <xf numFmtId="166" fontId="4" fillId="0" borderId="15" xfId="15" applyFont="1" applyFill="1" applyBorder="1" applyAlignment="1" applyProtection="1">
      <alignment/>
      <protection/>
    </xf>
    <xf numFmtId="166" fontId="0" fillId="0" borderId="3" xfId="15" applyFont="1" applyFill="1" applyBorder="1" applyAlignment="1" applyProtection="1">
      <alignment/>
      <protection/>
    </xf>
    <xf numFmtId="166" fontId="4" fillId="0" borderId="3" xfId="15" applyFont="1" applyFill="1" applyBorder="1" applyAlignment="1" applyProtection="1">
      <alignment/>
      <protection/>
    </xf>
    <xf numFmtId="180" fontId="4" fillId="0" borderId="15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Font="1" applyBorder="1" applyAlignment="1">
      <alignment/>
    </xf>
    <xf numFmtId="167" fontId="12" fillId="0" borderId="0" xfId="19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12" fillId="0" borderId="0" xfId="0" applyFont="1" applyAlignment="1">
      <alignment/>
    </xf>
    <xf numFmtId="166" fontId="12" fillId="0" borderId="0" xfId="15" applyFont="1" applyFill="1" applyBorder="1" applyAlignment="1" applyProtection="1">
      <alignment/>
      <protection/>
    </xf>
    <xf numFmtId="164" fontId="0" fillId="0" borderId="9" xfId="0" applyBorder="1" applyAlignment="1">
      <alignment/>
    </xf>
    <xf numFmtId="164" fontId="16" fillId="0" borderId="4" xfId="0" applyFont="1" applyBorder="1" applyAlignment="1">
      <alignment/>
    </xf>
    <xf numFmtId="164" fontId="14" fillId="0" borderId="7" xfId="0" applyFont="1" applyBorder="1" applyAlignment="1">
      <alignment horizontal="left" indent="1"/>
    </xf>
    <xf numFmtId="165" fontId="4" fillId="0" borderId="0" xfId="17" applyFont="1" applyFill="1" applyBorder="1" applyAlignment="1" applyProtection="1">
      <alignment/>
      <protection/>
    </xf>
    <xf numFmtId="165" fontId="0" fillId="0" borderId="8" xfId="17" applyFont="1" applyFill="1" applyBorder="1" applyAlignment="1" applyProtection="1">
      <alignment/>
      <protection/>
    </xf>
    <xf numFmtId="165" fontId="4" fillId="0" borderId="8" xfId="17" applyFont="1" applyFill="1" applyBorder="1" applyAlignment="1" applyProtection="1">
      <alignment/>
      <protection/>
    </xf>
    <xf numFmtId="166" fontId="0" fillId="0" borderId="0" xfId="15" applyFont="1" applyFill="1" applyBorder="1" applyAlignment="1" applyProtection="1">
      <alignment/>
      <protection/>
    </xf>
    <xf numFmtId="164" fontId="16" fillId="0" borderId="7" xfId="0" applyFont="1" applyBorder="1" applyAlignment="1">
      <alignment/>
    </xf>
    <xf numFmtId="164" fontId="0" fillId="0" borderId="8" xfId="0" applyBorder="1" applyAlignment="1">
      <alignment/>
    </xf>
    <xf numFmtId="167" fontId="4" fillId="0" borderId="0" xfId="19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7" fontId="4" fillId="0" borderId="10" xfId="19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16" fillId="0" borderId="7" xfId="0" applyFont="1" applyBorder="1" applyAlignment="1">
      <alignment horizontal="left" indent="1"/>
    </xf>
    <xf numFmtId="164" fontId="12" fillId="0" borderId="0" xfId="19" applyNumberFormat="1" applyFont="1" applyFill="1" applyBorder="1" applyAlignment="1" applyProtection="1">
      <alignment/>
      <protection/>
    </xf>
    <xf numFmtId="164" fontId="6" fillId="0" borderId="11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69" fontId="4" fillId="0" borderId="1" xfId="19" applyNumberFormat="1" applyFont="1" applyFill="1" applyBorder="1" applyAlignment="1" applyProtection="1">
      <alignment/>
      <protection/>
    </xf>
    <xf numFmtId="169" fontId="4" fillId="0" borderId="3" xfId="19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69" fontId="4" fillId="0" borderId="12" xfId="19" applyNumberFormat="1" applyFont="1" applyFill="1" applyBorder="1" applyAlignment="1" applyProtection="1">
      <alignment/>
      <protection/>
    </xf>
    <xf numFmtId="169" fontId="4" fillId="0" borderId="8" xfId="19" applyNumberFormat="1" applyFont="1" applyFill="1" applyBorder="1" applyAlignment="1" applyProtection="1">
      <alignment/>
      <protection/>
    </xf>
    <xf numFmtId="168" fontId="0" fillId="0" borderId="8" xfId="19" applyFont="1" applyFill="1" applyBorder="1" applyAlignment="1" applyProtection="1">
      <alignment/>
      <protection/>
    </xf>
    <xf numFmtId="168" fontId="0" fillId="0" borderId="0" xfId="19" applyFont="1" applyFill="1" applyBorder="1" applyAlignment="1" applyProtection="1">
      <alignment/>
      <protection/>
    </xf>
    <xf numFmtId="176" fontId="12" fillId="0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67" fontId="0" fillId="0" borderId="8" xfId="19" applyNumberFormat="1" applyFont="1" applyFill="1" applyBorder="1" applyAlignment="1" applyProtection="1">
      <alignment/>
      <protection/>
    </xf>
    <xf numFmtId="169" fontId="0" fillId="0" borderId="8" xfId="19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164" fontId="17" fillId="0" borderId="0" xfId="0" applyFont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76" fontId="4" fillId="0" borderId="13" xfId="19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164" fontId="4" fillId="0" borderId="7" xfId="19" applyNumberFormat="1" applyFont="1" applyFill="1" applyBorder="1" applyAlignment="1" applyProtection="1">
      <alignment/>
      <protection/>
    </xf>
    <xf numFmtId="164" fontId="4" fillId="0" borderId="8" xfId="0" applyFont="1" applyBorder="1" applyAlignment="1">
      <alignment/>
    </xf>
    <xf numFmtId="168" fontId="4" fillId="0" borderId="0" xfId="19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4" fillId="0" borderId="9" xfId="0" applyNumberFormat="1" applyFont="1" applyBorder="1" applyAlignment="1">
      <alignment/>
    </xf>
    <xf numFmtId="168" fontId="4" fillId="0" borderId="10" xfId="19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zoomScale="160" zoomScaleNormal="160" workbookViewId="0" topLeftCell="A1">
      <selection activeCell="B6" sqref="B6"/>
    </sheetView>
  </sheetViews>
  <sheetFormatPr defaultColWidth="9.140625" defaultRowHeight="12.75"/>
  <cols>
    <col min="1" max="2" width="2.7109375" style="1" customWidth="1"/>
    <col min="3" max="3" width="9.140625" style="1" customWidth="1"/>
    <col min="4" max="4" width="25.140625" style="1" customWidth="1"/>
    <col min="5" max="5" width="5.8515625" style="1" customWidth="1"/>
    <col min="6" max="6" width="10.00390625" style="1" customWidth="1"/>
    <col min="7" max="7" width="0.85546875" style="1" customWidth="1"/>
    <col min="8" max="11" width="9.140625" style="1" customWidth="1"/>
    <col min="12" max="12" width="3.00390625" style="1" customWidth="1"/>
    <col min="13" max="16384" width="9.140625" style="1" customWidth="1"/>
  </cols>
  <sheetData>
    <row r="2" ht="12.75">
      <c r="B2" s="2" t="s">
        <v>0</v>
      </c>
    </row>
    <row r="4" ht="15">
      <c r="B4" s="3" t="s">
        <v>1</v>
      </c>
    </row>
    <row r="5" ht="16.5">
      <c r="B5" s="4" t="s">
        <v>2</v>
      </c>
    </row>
    <row r="6" ht="16.5">
      <c r="B6" s="4" t="s">
        <v>3</v>
      </c>
    </row>
    <row r="8" spans="3:6" ht="14.25">
      <c r="C8" s="5" t="s">
        <v>4</v>
      </c>
      <c r="D8" s="6"/>
      <c r="E8" s="7"/>
      <c r="F8" s="8">
        <v>40</v>
      </c>
    </row>
    <row r="9" spans="3:6" ht="14.25">
      <c r="C9" s="5" t="s">
        <v>5</v>
      </c>
      <c r="D9" s="6"/>
      <c r="E9" s="7"/>
      <c r="F9" s="9">
        <v>2</v>
      </c>
    </row>
    <row r="10" spans="3:6" ht="14.25">
      <c r="C10" s="5" t="s">
        <v>6</v>
      </c>
      <c r="D10" s="6"/>
      <c r="E10" s="7"/>
      <c r="F10" s="9">
        <v>44</v>
      </c>
    </row>
    <row r="12" ht="12.75">
      <c r="B12" s="10" t="s">
        <v>7</v>
      </c>
    </row>
    <row r="13" spans="2:8" ht="12.75">
      <c r="B13" s="10"/>
      <c r="H13" s="11"/>
    </row>
    <row r="14" spans="3:8" ht="3.75" customHeight="1">
      <c r="C14" s="12"/>
      <c r="D14" s="13"/>
      <c r="E14" s="13"/>
      <c r="F14" s="13"/>
      <c r="G14" s="14"/>
      <c r="H14" s="11"/>
    </row>
    <row r="15" spans="3:8" ht="14.25">
      <c r="C15" s="15" t="s">
        <v>8</v>
      </c>
      <c r="D15" s="11"/>
      <c r="E15" s="16" t="s">
        <v>9</v>
      </c>
      <c r="F15" s="17">
        <f>((F10-F8)+F9)/F8</f>
        <v>0.15</v>
      </c>
      <c r="G15" s="18"/>
      <c r="H15" s="19">
        <f>(F10+F9)/F8-1</f>
        <v>0.1499999999999999</v>
      </c>
    </row>
    <row r="16" spans="3:8" ht="12.75">
      <c r="C16" s="20"/>
      <c r="D16" s="11"/>
      <c r="E16" s="11"/>
      <c r="F16" s="19"/>
      <c r="G16" s="18"/>
      <c r="H16" s="11"/>
    </row>
    <row r="17" spans="3:8" ht="14.25">
      <c r="C17" s="15" t="s">
        <v>10</v>
      </c>
      <c r="D17" s="11"/>
      <c r="E17" s="16" t="s">
        <v>9</v>
      </c>
      <c r="F17" s="17">
        <f>F9/F8</f>
        <v>0.05</v>
      </c>
      <c r="G17" s="18"/>
      <c r="H17" s="19">
        <f>F9/F8</f>
        <v>0.05</v>
      </c>
    </row>
    <row r="18" spans="3:8" ht="12.75">
      <c r="C18" s="20"/>
      <c r="D18" s="11"/>
      <c r="E18" s="11"/>
      <c r="F18" s="19"/>
      <c r="G18" s="18"/>
      <c r="H18" s="11"/>
    </row>
    <row r="19" spans="3:8" ht="14.25">
      <c r="C19" s="15" t="s">
        <v>11</v>
      </c>
      <c r="D19" s="11"/>
      <c r="E19" s="16" t="s">
        <v>9</v>
      </c>
      <c r="F19" s="17">
        <f>(F10-F8)/F8</f>
        <v>0.1</v>
      </c>
      <c r="G19" s="18"/>
      <c r="H19" s="19">
        <f>F10/F8-1</f>
        <v>0.10000000000000009</v>
      </c>
    </row>
    <row r="20" spans="3:8" ht="3.75" customHeight="1">
      <c r="C20" s="21"/>
      <c r="D20" s="22"/>
      <c r="E20" s="22"/>
      <c r="F20" s="22"/>
      <c r="G20" s="23"/>
      <c r="H20" s="1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3"/>
  <sheetViews>
    <sheetView zoomScale="160" zoomScaleNormal="160" workbookViewId="0" topLeftCell="A4">
      <selection activeCell="B4" sqref="B4"/>
    </sheetView>
  </sheetViews>
  <sheetFormatPr defaultColWidth="9.140625" defaultRowHeight="12.75"/>
  <cols>
    <col min="1" max="2" width="2.7109375" style="0" customWidth="1"/>
    <col min="4" max="4" width="12.00390625" style="0" customWidth="1"/>
    <col min="5" max="5" width="1.7109375" style="0" customWidth="1"/>
    <col min="6" max="6" width="11.421875" style="0" customWidth="1"/>
    <col min="7" max="7" width="0.85546875" style="0" customWidth="1"/>
    <col min="8" max="8" width="12.00390625" style="0" customWidth="1"/>
  </cols>
  <sheetData>
    <row r="2" ht="12.75">
      <c r="B2" s="2" t="s">
        <v>112</v>
      </c>
    </row>
    <row r="4" ht="15">
      <c r="B4" s="1" t="s">
        <v>113</v>
      </c>
    </row>
    <row r="6" spans="3:8" ht="12.75" customHeight="1">
      <c r="C6" s="162" t="s">
        <v>114</v>
      </c>
      <c r="D6" s="71"/>
      <c r="E6" s="72"/>
      <c r="F6" s="45" t="s">
        <v>102</v>
      </c>
      <c r="G6" s="45"/>
      <c r="H6" s="45" t="s">
        <v>103</v>
      </c>
    </row>
    <row r="7" spans="3:8" ht="14.25">
      <c r="C7" s="163" t="s">
        <v>104</v>
      </c>
      <c r="D7" s="146"/>
      <c r="E7" s="147"/>
      <c r="F7" s="164">
        <v>0</v>
      </c>
      <c r="G7" s="165"/>
      <c r="H7" s="166">
        <v>18</v>
      </c>
    </row>
    <row r="8" spans="3:8" ht="14.25">
      <c r="C8" s="29" t="s">
        <v>105</v>
      </c>
      <c r="D8" s="146"/>
      <c r="E8" s="147"/>
      <c r="F8" s="148">
        <v>1</v>
      </c>
      <c r="G8" s="149"/>
      <c r="H8" s="150">
        <v>26</v>
      </c>
    </row>
    <row r="9" spans="3:8" ht="14.25">
      <c r="C9" s="29" t="s">
        <v>106</v>
      </c>
      <c r="D9" s="146"/>
      <c r="E9" s="18"/>
      <c r="F9" s="148">
        <v>3</v>
      </c>
      <c r="G9" s="149"/>
      <c r="H9" s="150">
        <v>34</v>
      </c>
    </row>
    <row r="10" spans="3:8" ht="12.75">
      <c r="C10" s="29"/>
      <c r="D10" s="146"/>
      <c r="E10" s="18"/>
      <c r="F10" s="148"/>
      <c r="G10" s="149"/>
      <c r="H10" s="150"/>
    </row>
    <row r="11" spans="3:8" ht="12.75">
      <c r="C11" s="29" t="s">
        <v>109</v>
      </c>
      <c r="D11" s="146"/>
      <c r="E11" s="147"/>
      <c r="F11" s="148">
        <v>25</v>
      </c>
      <c r="G11" s="149"/>
      <c r="H11" s="149"/>
    </row>
    <row r="12" spans="3:8" ht="12.75">
      <c r="C12" s="29"/>
      <c r="D12" s="146"/>
      <c r="E12" s="147"/>
      <c r="F12" s="167"/>
      <c r="G12" s="149"/>
      <c r="H12" s="149"/>
    </row>
    <row r="13" spans="3:8" ht="12.75">
      <c r="C13" s="168" t="s">
        <v>115</v>
      </c>
      <c r="D13" s="146"/>
      <c r="E13" s="147"/>
      <c r="F13" s="167"/>
      <c r="G13" s="149"/>
      <c r="H13" s="149"/>
    </row>
    <row r="14" spans="3:8" ht="14.25">
      <c r="C14" s="163" t="s">
        <v>104</v>
      </c>
      <c r="D14" s="146"/>
      <c r="E14" s="147"/>
      <c r="F14" s="148">
        <v>8</v>
      </c>
      <c r="G14" s="149"/>
      <c r="H14" s="150">
        <v>240</v>
      </c>
    </row>
    <row r="15" spans="3:8" ht="14.25">
      <c r="C15" s="29" t="s">
        <v>105</v>
      </c>
      <c r="D15" s="146"/>
      <c r="E15" s="147"/>
      <c r="F15" s="148">
        <v>4</v>
      </c>
      <c r="G15" s="149"/>
      <c r="H15" s="150">
        <v>90</v>
      </c>
    </row>
    <row r="16" spans="3:8" ht="14.25">
      <c r="C16" s="29" t="s">
        <v>106</v>
      </c>
      <c r="D16" s="146"/>
      <c r="E16" s="147"/>
      <c r="F16" s="148">
        <v>0</v>
      </c>
      <c r="G16" s="149"/>
      <c r="H16" s="150">
        <v>0</v>
      </c>
    </row>
    <row r="17" spans="3:8" ht="12.75">
      <c r="C17" s="29"/>
      <c r="D17" s="146"/>
      <c r="E17" s="147"/>
      <c r="F17" s="167"/>
      <c r="G17" s="149"/>
      <c r="H17" s="149"/>
    </row>
    <row r="18" spans="3:8" ht="14.25">
      <c r="C18" s="29" t="s">
        <v>109</v>
      </c>
      <c r="D18" s="146"/>
      <c r="E18" s="147"/>
      <c r="F18" s="148">
        <v>80</v>
      </c>
      <c r="G18" s="149"/>
      <c r="H18" s="149"/>
    </row>
    <row r="19" spans="3:8" ht="12.75">
      <c r="C19" s="29"/>
      <c r="D19" s="146"/>
      <c r="E19" s="147"/>
      <c r="F19" s="146"/>
      <c r="G19" s="147"/>
      <c r="H19" s="147"/>
    </row>
    <row r="20" spans="3:8" ht="14.25">
      <c r="C20" s="163" t="s">
        <v>104</v>
      </c>
      <c r="D20" s="146"/>
      <c r="E20" s="169"/>
      <c r="F20" s="170">
        <f>(F14+(H14-F18))/F18</f>
        <v>2.1</v>
      </c>
      <c r="G20" s="147"/>
      <c r="H20" s="147"/>
    </row>
    <row r="21" spans="3:8" ht="14.25">
      <c r="C21" s="29" t="s">
        <v>105</v>
      </c>
      <c r="D21" s="146"/>
      <c r="E21" s="169"/>
      <c r="F21" s="170">
        <f>((F15+(H15-F18))/F18)</f>
        <v>0.175</v>
      </c>
      <c r="G21" s="147"/>
      <c r="H21" s="147"/>
    </row>
    <row r="22" spans="3:8" ht="14.25">
      <c r="C22" s="29" t="s">
        <v>106</v>
      </c>
      <c r="D22" s="146"/>
      <c r="E22" s="169"/>
      <c r="F22" s="170">
        <f>(F16+(H16-F18))/F18</f>
        <v>-1</v>
      </c>
      <c r="G22" s="147"/>
      <c r="H22" s="147"/>
    </row>
    <row r="23" spans="3:8" ht="12.75">
      <c r="C23" s="29" t="s">
        <v>116</v>
      </c>
      <c r="D23" s="146"/>
      <c r="E23" s="169"/>
      <c r="F23" s="170">
        <f>(F20+F21+F22)/3</f>
        <v>0.425</v>
      </c>
      <c r="G23" s="147"/>
      <c r="H23" s="147"/>
    </row>
    <row r="24" spans="3:8" ht="12.75" customHeight="1">
      <c r="C24" s="29"/>
      <c r="D24" s="146"/>
      <c r="E24" s="169"/>
      <c r="F24" s="171"/>
      <c r="G24" s="147"/>
      <c r="H24" s="147"/>
    </row>
    <row r="25" spans="3:8" ht="14.25">
      <c r="C25" s="29" t="s">
        <v>85</v>
      </c>
      <c r="D25" s="146"/>
      <c r="E25" s="169"/>
      <c r="F25" s="172">
        <f>(1/3)*((F20*100)-(F23*100))^2+(1/3)*((F21*100)-(F23*100))^2+(1/3)*((F22*100)-(F23*100))^2</f>
        <v>16329.166666666666</v>
      </c>
      <c r="G25" s="147"/>
      <c r="H25" s="147"/>
    </row>
    <row r="26" spans="3:8" ht="12.75">
      <c r="C26" s="67" t="s">
        <v>111</v>
      </c>
      <c r="D26" s="73"/>
      <c r="E26" s="173"/>
      <c r="F26" s="174">
        <f>SQRT(F25)</f>
        <v>127.78562777819212</v>
      </c>
      <c r="G26" s="74"/>
      <c r="H26" s="74"/>
    </row>
    <row r="27" spans="3:6" ht="12.75">
      <c r="C27" s="175"/>
      <c r="D27" s="146"/>
      <c r="E27" s="156"/>
      <c r="F27" s="34"/>
    </row>
    <row r="28" ht="16.5">
      <c r="C28" s="4" t="s">
        <v>117</v>
      </c>
    </row>
    <row r="29" ht="16.5">
      <c r="C29" s="4" t="s">
        <v>118</v>
      </c>
    </row>
    <row r="30" ht="16.5">
      <c r="C30" s="4" t="s">
        <v>119</v>
      </c>
    </row>
    <row r="31" ht="16.5">
      <c r="C31" s="4" t="s">
        <v>120</v>
      </c>
    </row>
    <row r="33" ht="12.75">
      <c r="B33" s="10" t="s">
        <v>7</v>
      </c>
    </row>
    <row r="35" spans="3:7" ht="3.75" customHeight="1">
      <c r="C35" s="155"/>
      <c r="D35" s="71"/>
      <c r="E35" s="71"/>
      <c r="F35" s="71"/>
      <c r="G35" s="72"/>
    </row>
    <row r="36" spans="3:7" ht="12.75">
      <c r="C36" s="176" t="s">
        <v>114</v>
      </c>
      <c r="D36" s="146"/>
      <c r="E36" s="146"/>
      <c r="F36" s="146"/>
      <c r="G36" s="147"/>
    </row>
    <row r="37" spans="3:9" ht="14.25">
      <c r="C37" s="163" t="s">
        <v>104</v>
      </c>
      <c r="D37" s="146"/>
      <c r="E37" s="156" t="s">
        <v>9</v>
      </c>
      <c r="F37" s="177">
        <f>(F7+(H7-F11))/F11</f>
        <v>-0.28</v>
      </c>
      <c r="G37" s="147"/>
      <c r="I37" s="158"/>
    </row>
    <row r="38" spans="3:9" ht="14.25">
      <c r="C38" s="29" t="s">
        <v>105</v>
      </c>
      <c r="D38" s="146"/>
      <c r="E38" s="156" t="s">
        <v>9</v>
      </c>
      <c r="F38" s="177">
        <f>(F8+(H8-F11))/F11</f>
        <v>0.08</v>
      </c>
      <c r="G38" s="147"/>
      <c r="I38" s="158"/>
    </row>
    <row r="39" spans="3:9" ht="14.25">
      <c r="C39" s="29" t="s">
        <v>106</v>
      </c>
      <c r="D39" s="146"/>
      <c r="E39" s="156" t="s">
        <v>9</v>
      </c>
      <c r="F39" s="177">
        <f>(F9+(H9-F11))/F11</f>
        <v>0.48</v>
      </c>
      <c r="G39" s="147"/>
      <c r="I39" s="158"/>
    </row>
    <row r="40" spans="3:9" ht="14.25">
      <c r="C40" s="15" t="s">
        <v>116</v>
      </c>
      <c r="D40" s="146"/>
      <c r="E40" s="156" t="s">
        <v>9</v>
      </c>
      <c r="F40" s="34">
        <f>(F37+F38+F39)/3</f>
        <v>0.09333333333333332</v>
      </c>
      <c r="G40" s="147"/>
      <c r="I40" s="158"/>
    </row>
    <row r="41" spans="3:7" ht="12.75">
      <c r="C41" s="15"/>
      <c r="D41" s="146"/>
      <c r="E41" s="156"/>
      <c r="F41" s="36"/>
      <c r="G41" s="147"/>
    </row>
    <row r="42" spans="3:7" ht="12.75">
      <c r="C42" s="29" t="s">
        <v>85</v>
      </c>
      <c r="D42" s="146"/>
      <c r="E42" s="156" t="s">
        <v>9</v>
      </c>
      <c r="F42" s="160">
        <f>(1/3)*((F37*100)-(F40*100))^2+(1/3)*((F38*100)-(F40*100))^2+(1/3)*((F39*100)-(F40*100))^2</f>
        <v>963.5555555555558</v>
      </c>
      <c r="G42" s="147"/>
    </row>
    <row r="43" spans="3:7" ht="12.75">
      <c r="C43" s="15" t="s">
        <v>111</v>
      </c>
      <c r="D43" s="146"/>
      <c r="E43" s="156" t="s">
        <v>9</v>
      </c>
      <c r="F43" s="34">
        <f>SQRT(F42)/100</f>
        <v>0.31041191271527513</v>
      </c>
      <c r="G43" s="147"/>
    </row>
    <row r="44" spans="3:7" ht="12.75">
      <c r="C44" s="15"/>
      <c r="D44" s="146"/>
      <c r="E44" s="156"/>
      <c r="F44" s="17"/>
      <c r="G44" s="147"/>
    </row>
    <row r="45" spans="3:7" ht="12.75">
      <c r="C45" s="176" t="s">
        <v>121</v>
      </c>
      <c r="D45" s="146"/>
      <c r="E45" s="156"/>
      <c r="F45" s="17"/>
      <c r="G45" s="147"/>
    </row>
    <row r="46" spans="3:7" ht="14.25">
      <c r="C46" s="163" t="s">
        <v>104</v>
      </c>
      <c r="D46" s="146"/>
      <c r="E46" s="156" t="s">
        <v>9</v>
      </c>
      <c r="F46" s="157">
        <f aca="true" t="shared" si="0" ref="F46:F49">(F37+F20)/2</f>
        <v>0.91</v>
      </c>
      <c r="G46" s="147"/>
    </row>
    <row r="47" spans="3:7" ht="14.25">
      <c r="C47" s="29" t="s">
        <v>105</v>
      </c>
      <c r="D47" s="146"/>
      <c r="E47" s="156" t="s">
        <v>9</v>
      </c>
      <c r="F47" s="157">
        <f t="shared" si="0"/>
        <v>0.1275</v>
      </c>
      <c r="G47" s="147"/>
    </row>
    <row r="48" spans="3:7" ht="14.25">
      <c r="C48" s="29" t="s">
        <v>106</v>
      </c>
      <c r="D48" s="146"/>
      <c r="E48" s="156" t="s">
        <v>9</v>
      </c>
      <c r="F48" s="157">
        <f t="shared" si="0"/>
        <v>-0.26</v>
      </c>
      <c r="G48" s="147"/>
    </row>
    <row r="49" spans="3:7" ht="12.75">
      <c r="C49" s="15" t="s">
        <v>116</v>
      </c>
      <c r="D49" s="146"/>
      <c r="E49" s="156" t="s">
        <v>9</v>
      </c>
      <c r="F49" s="34">
        <f t="shared" si="0"/>
        <v>0.25916666666666666</v>
      </c>
      <c r="G49" s="147"/>
    </row>
    <row r="50" spans="3:7" ht="12.75">
      <c r="C50" s="15"/>
      <c r="D50" s="146"/>
      <c r="E50" s="156"/>
      <c r="F50" s="36"/>
      <c r="G50" s="147"/>
    </row>
    <row r="51" spans="3:7" ht="12.75">
      <c r="C51" s="29" t="s">
        <v>85</v>
      </c>
      <c r="D51" s="146"/>
      <c r="E51" s="156" t="s">
        <v>9</v>
      </c>
      <c r="F51" s="160">
        <f>(1/3)*((F46*100)-(F49*100))^2+(1/3)*((F47*100)-(F49*100))^2+(1/3)*((F48*100)-(F49*100))^2</f>
        <v>2368.1805555555557</v>
      </c>
      <c r="G51" s="147"/>
    </row>
    <row r="52" spans="3:7" ht="12.75">
      <c r="C52" s="15" t="s">
        <v>111</v>
      </c>
      <c r="D52" s="146"/>
      <c r="E52" s="156" t="s">
        <v>9</v>
      </c>
      <c r="F52" s="34">
        <f>SQRT(F51)/100</f>
        <v>0.4866395540392864</v>
      </c>
      <c r="G52" s="147"/>
    </row>
    <row r="53" spans="3:7" ht="3.75" customHeight="1">
      <c r="C53" s="161"/>
      <c r="D53" s="73"/>
      <c r="E53" s="73"/>
      <c r="F53" s="73"/>
      <c r="G53" s="74"/>
    </row>
  </sheetData>
  <sheetProtection selectLockedCells="1" selectUnlockedCells="1"/>
  <mergeCells count="1">
    <mergeCell ref="F6:G6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7"/>
  <sheetViews>
    <sheetView zoomScale="160" zoomScaleNormal="160" workbookViewId="0" topLeftCell="A7">
      <selection activeCell="F26" sqref="F26"/>
    </sheetView>
  </sheetViews>
  <sheetFormatPr defaultColWidth="9.140625" defaultRowHeight="12.75"/>
  <cols>
    <col min="1" max="2" width="2.7109375" style="0" customWidth="1"/>
    <col min="3" max="3" width="9.7109375" style="0" customWidth="1"/>
    <col min="4" max="4" width="14.28125" style="0" customWidth="1"/>
    <col min="5" max="5" width="1.7109375" style="0" customWidth="1"/>
    <col min="6" max="6" width="10.140625" style="0" customWidth="1"/>
    <col min="7" max="7" width="0.85546875" style="0" customWidth="1"/>
    <col min="14" max="14" width="2.140625" style="0" customWidth="1"/>
  </cols>
  <sheetData>
    <row r="2" ht="12.75">
      <c r="B2" s="2" t="s">
        <v>122</v>
      </c>
    </row>
    <row r="4" ht="12.75">
      <c r="B4" t="s">
        <v>123</v>
      </c>
    </row>
    <row r="6" spans="3:16" ht="12.75" customHeight="1">
      <c r="C6" s="45" t="s">
        <v>124</v>
      </c>
      <c r="D6" s="45"/>
      <c r="E6" s="45"/>
      <c r="F6" s="45" t="s">
        <v>125</v>
      </c>
      <c r="G6" s="45"/>
      <c r="H6" s="141" t="s">
        <v>126</v>
      </c>
      <c r="I6" s="141"/>
      <c r="P6" s="163"/>
    </row>
    <row r="7" spans="3:16" ht="14.25">
      <c r="C7" s="45"/>
      <c r="D7" s="45"/>
      <c r="E7" s="45"/>
      <c r="F7" s="45"/>
      <c r="G7" s="45"/>
      <c r="H7" s="45" t="s">
        <v>127</v>
      </c>
      <c r="I7" s="178" t="s">
        <v>128</v>
      </c>
      <c r="P7" s="29"/>
    </row>
    <row r="8" spans="3:16" ht="14.25">
      <c r="C8" s="27" t="s">
        <v>106</v>
      </c>
      <c r="D8" s="137"/>
      <c r="E8" s="138"/>
      <c r="F8" s="179">
        <v>0.2</v>
      </c>
      <c r="G8" s="180"/>
      <c r="H8" s="181">
        <v>-0.05</v>
      </c>
      <c r="I8" s="182">
        <v>0.14</v>
      </c>
      <c r="P8" s="29"/>
    </row>
    <row r="9" spans="3:9" ht="14.25">
      <c r="C9" s="29" t="s">
        <v>105</v>
      </c>
      <c r="D9" s="146"/>
      <c r="E9" s="147"/>
      <c r="F9" s="183">
        <v>0.6</v>
      </c>
      <c r="G9" s="184"/>
      <c r="H9" s="185">
        <v>0.15</v>
      </c>
      <c r="I9" s="186">
        <v>0.08</v>
      </c>
    </row>
    <row r="10" spans="3:9" ht="14.25">
      <c r="C10" s="142" t="s">
        <v>129</v>
      </c>
      <c r="D10" s="137"/>
      <c r="E10" s="7"/>
      <c r="F10" s="179">
        <v>0.2</v>
      </c>
      <c r="G10" s="180"/>
      <c r="H10" s="181">
        <v>0.25</v>
      </c>
      <c r="I10" s="182">
        <v>0.04</v>
      </c>
    </row>
    <row r="12" spans="2:3" ht="16.5">
      <c r="B12" s="2" t="s">
        <v>23</v>
      </c>
      <c r="C12" s="4" t="s">
        <v>130</v>
      </c>
    </row>
    <row r="13" spans="2:3" ht="16.5">
      <c r="B13" s="2" t="s">
        <v>24</v>
      </c>
      <c r="C13" s="4" t="s">
        <v>131</v>
      </c>
    </row>
    <row r="14" spans="2:3" ht="16.5">
      <c r="B14" s="2" t="s">
        <v>25</v>
      </c>
      <c r="C14" s="4" t="s">
        <v>132</v>
      </c>
    </row>
    <row r="15" ht="12.75">
      <c r="B15" s="2"/>
    </row>
    <row r="16" ht="12.75">
      <c r="B16" s="10" t="s">
        <v>7</v>
      </c>
    </row>
    <row r="17" ht="12.75">
      <c r="B17" s="10"/>
    </row>
    <row r="18" spans="2:3" ht="14.25">
      <c r="B18" s="2" t="s">
        <v>23</v>
      </c>
      <c r="C18" t="s">
        <v>133</v>
      </c>
    </row>
    <row r="19" ht="14.25">
      <c r="C19" t="s">
        <v>134</v>
      </c>
    </row>
    <row r="20" ht="14.25"/>
    <row r="22" spans="3:7" ht="3.75" customHeight="1">
      <c r="C22" s="155"/>
      <c r="D22" s="71"/>
      <c r="E22" s="71"/>
      <c r="F22" s="71"/>
      <c r="G22" s="72"/>
    </row>
    <row r="23" spans="2:7" ht="12.75">
      <c r="B23" s="2" t="s">
        <v>24</v>
      </c>
      <c r="C23" s="176" t="s">
        <v>135</v>
      </c>
      <c r="D23" s="146"/>
      <c r="E23" s="146"/>
      <c r="F23" s="146"/>
      <c r="G23" s="147"/>
    </row>
    <row r="24" spans="3:7" ht="12.75">
      <c r="C24" s="15" t="s">
        <v>116</v>
      </c>
      <c r="D24" s="146"/>
      <c r="E24" s="16" t="s">
        <v>9</v>
      </c>
      <c r="F24" s="34">
        <f>(F8*H8)+(F9*H9)+(F10*H10)</f>
        <v>0.13</v>
      </c>
      <c r="G24" s="187"/>
    </row>
    <row r="25" spans="3:7" ht="12.75">
      <c r="C25" s="29"/>
      <c r="D25" s="146"/>
      <c r="E25" s="16"/>
      <c r="F25" s="188"/>
      <c r="G25" s="187"/>
    </row>
    <row r="26" spans="3:11" ht="14.25">
      <c r="C26" s="29" t="s">
        <v>85</v>
      </c>
      <c r="D26" s="146"/>
      <c r="E26" s="16" t="s">
        <v>9</v>
      </c>
      <c r="F26" s="189">
        <f>(F8*((H8*100)-(F24*100))^2)+(F9*((H9*100)-(F24*100))^2)+(F10*((H10*100)-(F24*100))^2)</f>
        <v>96</v>
      </c>
      <c r="G26" s="147"/>
      <c r="K26" s="190"/>
    </row>
    <row r="27" spans="3:7" ht="12.75">
      <c r="C27" s="15" t="s">
        <v>86</v>
      </c>
      <c r="D27" s="146"/>
      <c r="E27" s="16" t="s">
        <v>9</v>
      </c>
      <c r="F27" s="34">
        <f>SQRT(F26)/100</f>
        <v>0.09797958971132711</v>
      </c>
      <c r="G27" s="191"/>
    </row>
    <row r="28" spans="3:7" ht="12.75">
      <c r="C28" s="29"/>
      <c r="D28" s="146"/>
      <c r="E28" s="16"/>
      <c r="F28" s="146"/>
      <c r="G28" s="147"/>
    </row>
    <row r="29" spans="3:7" ht="12.75">
      <c r="C29" s="176" t="s">
        <v>136</v>
      </c>
      <c r="D29" s="146"/>
      <c r="E29" s="16"/>
      <c r="F29" s="146"/>
      <c r="G29" s="147"/>
    </row>
    <row r="30" spans="3:7" ht="14.25">
      <c r="C30" s="15" t="s">
        <v>116</v>
      </c>
      <c r="D30" s="146"/>
      <c r="E30" s="16" t="s">
        <v>9</v>
      </c>
      <c r="F30" s="34">
        <f>(F8*I8)+(F9*I9)+(F10*I10)</f>
        <v>0.08400000000000002</v>
      </c>
      <c r="G30" s="192"/>
    </row>
    <row r="31" spans="3:7" ht="14.25">
      <c r="C31" s="29"/>
      <c r="D31" s="146"/>
      <c r="E31" s="16"/>
      <c r="F31" s="146"/>
      <c r="G31" s="147"/>
    </row>
    <row r="32" spans="3:7" ht="14.25">
      <c r="C32" s="29" t="s">
        <v>85</v>
      </c>
      <c r="D32" s="146"/>
      <c r="E32" s="16" t="s">
        <v>9</v>
      </c>
      <c r="F32" s="193">
        <f>(F8*((I8*100)-(F30*100))^2)+(F9*((I9*100)-(F30*100))^2)+(F10*((I10*100)-(F30*100))^2)</f>
        <v>10.240000000000004</v>
      </c>
      <c r="G32" s="147"/>
    </row>
    <row r="33" spans="3:7" ht="14.25">
      <c r="C33" s="15" t="s">
        <v>86</v>
      </c>
      <c r="D33" s="146"/>
      <c r="E33" s="16" t="s">
        <v>9</v>
      </c>
      <c r="F33" s="34">
        <f>SQRT(F32)/100</f>
        <v>0.03200000000000001</v>
      </c>
      <c r="G33" s="191"/>
    </row>
    <row r="34" spans="3:7" ht="3.75" customHeight="1">
      <c r="C34" s="161"/>
      <c r="D34" s="73"/>
      <c r="E34" s="73"/>
      <c r="F34" s="73"/>
      <c r="G34" s="74"/>
    </row>
    <row r="36" spans="2:3" ht="14.25">
      <c r="B36" s="2" t="s">
        <v>25</v>
      </c>
      <c r="C36" t="s">
        <v>137</v>
      </c>
    </row>
    <row r="37" ht="14.25">
      <c r="C37" t="s">
        <v>138</v>
      </c>
    </row>
  </sheetData>
  <sheetProtection selectLockedCells="1" selectUnlockedCells="1"/>
  <mergeCells count="3">
    <mergeCell ref="C6:E7"/>
    <mergeCell ref="F6:G7"/>
    <mergeCell ref="H6:I6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="160" zoomScaleNormal="160" workbookViewId="0" topLeftCell="A1">
      <selection activeCell="B13" sqref="B13"/>
    </sheetView>
  </sheetViews>
  <sheetFormatPr defaultColWidth="9.140625" defaultRowHeight="12.75"/>
  <cols>
    <col min="1" max="2" width="2.7109375" style="0" customWidth="1"/>
    <col min="4" max="4" width="13.00390625" style="0" customWidth="1"/>
    <col min="5" max="5" width="1.421875" style="0" customWidth="1"/>
    <col min="6" max="6" width="10.421875" style="0" customWidth="1"/>
    <col min="7" max="7" width="0.85546875" style="0" customWidth="1"/>
  </cols>
  <sheetData>
    <row r="1" ht="12.75">
      <c r="A1" s="194"/>
    </row>
    <row r="2" ht="12.75">
      <c r="B2" s="2" t="s">
        <v>139</v>
      </c>
    </row>
    <row r="4" ht="14.25">
      <c r="B4" t="s">
        <v>140</v>
      </c>
    </row>
    <row r="6" spans="3:9" ht="12.75" customHeight="1">
      <c r="C6" s="45" t="s">
        <v>124</v>
      </c>
      <c r="D6" s="45"/>
      <c r="E6" s="45"/>
      <c r="F6" s="45" t="s">
        <v>125</v>
      </c>
      <c r="G6" s="45"/>
      <c r="H6" s="141" t="s">
        <v>126</v>
      </c>
      <c r="I6" s="141"/>
    </row>
    <row r="7" spans="3:9" ht="12.75">
      <c r="C7" s="45"/>
      <c r="D7" s="45"/>
      <c r="E7" s="45"/>
      <c r="F7" s="45"/>
      <c r="G7" s="45"/>
      <c r="H7" s="45" t="s">
        <v>127</v>
      </c>
      <c r="I7" s="178" t="s">
        <v>128</v>
      </c>
    </row>
    <row r="8" spans="3:9" ht="14.25">
      <c r="C8" s="27" t="s">
        <v>106</v>
      </c>
      <c r="D8" s="137"/>
      <c r="E8" s="138"/>
      <c r="F8" s="179">
        <v>0.2</v>
      </c>
      <c r="G8" s="180"/>
      <c r="H8" s="181">
        <v>-0.05</v>
      </c>
      <c r="I8" s="182">
        <v>0.14</v>
      </c>
    </row>
    <row r="9" spans="3:9" ht="14.25">
      <c r="C9" s="29" t="s">
        <v>105</v>
      </c>
      <c r="D9" s="146"/>
      <c r="E9" s="147"/>
      <c r="F9" s="183">
        <v>0.6</v>
      </c>
      <c r="G9" s="184"/>
      <c r="H9" s="185">
        <v>0.15</v>
      </c>
      <c r="I9" s="186">
        <v>0.08</v>
      </c>
    </row>
    <row r="10" spans="3:9" ht="14.25">
      <c r="C10" s="142" t="s">
        <v>104</v>
      </c>
      <c r="D10" s="137"/>
      <c r="E10" s="7"/>
      <c r="F10" s="179">
        <v>0.2</v>
      </c>
      <c r="G10" s="180"/>
      <c r="H10" s="181">
        <v>0.25</v>
      </c>
      <c r="I10" s="182">
        <v>0.04</v>
      </c>
    </row>
    <row r="11" spans="2:9" ht="12.75">
      <c r="B11" s="147"/>
      <c r="C11" s="67" t="s">
        <v>141</v>
      </c>
      <c r="D11" s="73"/>
      <c r="E11" s="74"/>
      <c r="F11" s="195"/>
      <c r="G11" s="196"/>
      <c r="H11" s="197">
        <v>0.6</v>
      </c>
      <c r="I11" s="197">
        <v>0.4</v>
      </c>
    </row>
    <row r="13" spans="2:3" ht="14.25">
      <c r="B13" s="2" t="s">
        <v>23</v>
      </c>
      <c r="C13" t="s">
        <v>142</v>
      </c>
    </row>
    <row r="14" spans="2:3" ht="14.25">
      <c r="B14" s="2" t="s">
        <v>24</v>
      </c>
      <c r="C14" t="s">
        <v>143</v>
      </c>
    </row>
    <row r="15" spans="2:3" ht="14.25">
      <c r="B15" s="2" t="s">
        <v>25</v>
      </c>
      <c r="C15" t="s">
        <v>144</v>
      </c>
    </row>
    <row r="17" ht="12.75">
      <c r="B17" s="10" t="s">
        <v>7</v>
      </c>
    </row>
    <row r="19" spans="3:7" ht="3.75" customHeight="1">
      <c r="C19" s="155"/>
      <c r="D19" s="71"/>
      <c r="E19" s="71"/>
      <c r="F19" s="71"/>
      <c r="G19" s="72"/>
    </row>
    <row r="20" spans="2:9" ht="14.25">
      <c r="B20" s="2" t="s">
        <v>23</v>
      </c>
      <c r="C20" s="29" t="s">
        <v>106</v>
      </c>
      <c r="D20" s="146"/>
      <c r="E20" s="146"/>
      <c r="F20" s="170">
        <f>(H8*H11)+(I8*I11)</f>
        <v>0.02600000000000001</v>
      </c>
      <c r="G20" s="147"/>
      <c r="I20">
        <f aca="true" t="shared" si="0" ref="I20:I22">F20*F8</f>
        <v>0.005200000000000002</v>
      </c>
    </row>
    <row r="21" spans="3:9" ht="14.25">
      <c r="C21" s="29" t="s">
        <v>105</v>
      </c>
      <c r="D21" s="146"/>
      <c r="E21" s="146"/>
      <c r="F21" s="170">
        <f>(H11*H9)+(I11*I9)</f>
        <v>0.122</v>
      </c>
      <c r="G21" s="147"/>
      <c r="I21">
        <f t="shared" si="0"/>
        <v>0.0732</v>
      </c>
    </row>
    <row r="22" spans="3:9" ht="14.25">
      <c r="C22" s="163" t="s">
        <v>104</v>
      </c>
      <c r="D22" s="146"/>
      <c r="E22" s="146"/>
      <c r="F22" s="170">
        <f>(H11*H10)+(I11*I10)</f>
        <v>0.16599999999999998</v>
      </c>
      <c r="G22" s="147"/>
      <c r="I22">
        <f t="shared" si="0"/>
        <v>0.0332</v>
      </c>
    </row>
    <row r="23" spans="3:7" ht="12.75">
      <c r="C23" s="29"/>
      <c r="D23" s="146"/>
      <c r="E23" s="146"/>
      <c r="F23" s="198"/>
      <c r="G23" s="147"/>
    </row>
    <row r="24" spans="2:9" ht="14.25">
      <c r="B24" s="2" t="s">
        <v>24</v>
      </c>
      <c r="C24" s="15" t="s">
        <v>116</v>
      </c>
      <c r="D24" s="146"/>
      <c r="E24" s="16" t="s">
        <v>9</v>
      </c>
      <c r="F24" s="170">
        <f>(F8*F20)+(F9*F21)+(F10*F22)</f>
        <v>0.1116</v>
      </c>
      <c r="G24" s="147"/>
      <c r="I24" s="170"/>
    </row>
    <row r="25" spans="3:7" ht="12.75">
      <c r="C25" s="29"/>
      <c r="D25" s="146"/>
      <c r="E25" s="16"/>
      <c r="F25" s="198"/>
      <c r="G25" s="147"/>
    </row>
    <row r="26" spans="3:9" ht="12.75">
      <c r="C26" s="29" t="s">
        <v>85</v>
      </c>
      <c r="D26" s="146"/>
      <c r="E26" s="16" t="s">
        <v>9</v>
      </c>
      <c r="F26" s="160">
        <f>(F8*((F20*100)-(F24*100))^2)+(F9*((F21*100)-(F24*100))^2)+(F10*((F22*100)-(F24*100))^2)</f>
        <v>21.22239999999999</v>
      </c>
      <c r="G26" s="147"/>
      <c r="I26">
        <f>_xlfn.VAR.P(I20:I22)</f>
        <v>0.0007786666666666667</v>
      </c>
    </row>
    <row r="27" spans="3:9" ht="14.25">
      <c r="C27" s="15" t="s">
        <v>86</v>
      </c>
      <c r="D27" s="146"/>
      <c r="E27" s="146" t="s">
        <v>9</v>
      </c>
      <c r="F27" s="170">
        <f>SQRT(F26)/100</f>
        <v>0.04606777615644149</v>
      </c>
      <c r="G27" s="147"/>
      <c r="I27">
        <f>SQRT(I26)</f>
        <v>0.0279045993819418</v>
      </c>
    </row>
    <row r="28" spans="3:7" ht="3.75" customHeight="1">
      <c r="C28" s="161"/>
      <c r="D28" s="73"/>
      <c r="E28" s="73"/>
      <c r="F28" s="73"/>
      <c r="G28" s="74"/>
    </row>
    <row r="30" spans="2:6" ht="12.75">
      <c r="B30" s="2" t="s">
        <v>25</v>
      </c>
      <c r="C30" s="199"/>
      <c r="D30" s="200" t="s">
        <v>145</v>
      </c>
      <c r="E30" s="201" t="s">
        <v>146</v>
      </c>
      <c r="F30" s="201"/>
    </row>
    <row r="31" spans="3:6" ht="12.75">
      <c r="C31" s="199" t="s">
        <v>147</v>
      </c>
      <c r="D31" s="202">
        <f>(F8*H8)+(F9*H9)+(F10*H10)</f>
        <v>0.13</v>
      </c>
      <c r="E31" s="136"/>
      <c r="F31" s="203">
        <f>SQRT((F8*(H8-D31)^2)+(F9*(H9-D31)^2)+(F10*(H10-D31)^2))</f>
        <v>0.09797958971132711</v>
      </c>
    </row>
    <row r="32" spans="3:6" ht="12.75">
      <c r="C32" s="199" t="s">
        <v>128</v>
      </c>
      <c r="D32" s="202">
        <f>(F8*I8)+(F9*I9)+(F10*I10)</f>
        <v>0.08400000000000002</v>
      </c>
      <c r="E32" s="136"/>
      <c r="F32" s="203">
        <f>SQRT((F8*(I8-D32)^2)+(F9*(I9-D32)^2)+(F10*(I10-D32)^2))</f>
        <v>0.03200000000000001</v>
      </c>
    </row>
    <row r="33" spans="3:6" ht="12.75">
      <c r="C33" s="199" t="s">
        <v>148</v>
      </c>
      <c r="D33" s="202">
        <f>F24</f>
        <v>0.1116</v>
      </c>
      <c r="E33" s="136"/>
      <c r="F33" s="203">
        <f>F27</f>
        <v>0.04606777615644149</v>
      </c>
    </row>
    <row r="35" ht="14.25">
      <c r="C35" t="s">
        <v>149</v>
      </c>
    </row>
    <row r="36" ht="12.75">
      <c r="C36" t="s">
        <v>150</v>
      </c>
    </row>
    <row r="37" ht="12.75">
      <c r="C37" t="s">
        <v>151</v>
      </c>
    </row>
  </sheetData>
  <sheetProtection selectLockedCells="1" selectUnlockedCells="1"/>
  <mergeCells count="4">
    <mergeCell ref="C6:E7"/>
    <mergeCell ref="F6:G7"/>
    <mergeCell ref="H6:I6"/>
    <mergeCell ref="E30:F30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5"/>
  <sheetViews>
    <sheetView zoomScale="160" zoomScaleNormal="160" workbookViewId="0" topLeftCell="A1">
      <selection activeCell="G25" sqref="G25"/>
    </sheetView>
  </sheetViews>
  <sheetFormatPr defaultColWidth="9.140625" defaultRowHeight="12.75"/>
  <cols>
    <col min="1" max="2" width="2.7109375" style="0" customWidth="1"/>
    <col min="3" max="3" width="19.8515625" style="0" customWidth="1"/>
    <col min="4" max="4" width="1.1484375" style="0" customWidth="1"/>
    <col min="5" max="5" width="12.00390625" style="0" customWidth="1"/>
    <col min="6" max="6" width="0.85546875" style="0" customWidth="1"/>
  </cols>
  <sheetData>
    <row r="2" ht="12.75">
      <c r="B2" s="2" t="s">
        <v>152</v>
      </c>
    </row>
    <row r="4" spans="2:5" ht="14.25">
      <c r="B4" t="s">
        <v>153</v>
      </c>
      <c r="E4" s="188"/>
    </row>
    <row r="5" spans="5:6" ht="12.75">
      <c r="E5" s="188"/>
      <c r="F5" s="73"/>
    </row>
    <row r="6" spans="3:6" ht="12.75">
      <c r="C6" s="201" t="s">
        <v>154</v>
      </c>
      <c r="D6" s="201"/>
      <c r="E6" s="201" t="s">
        <v>155</v>
      </c>
      <c r="F6" s="201"/>
    </row>
    <row r="7" spans="3:8" ht="14.25">
      <c r="C7" s="204">
        <v>0.5</v>
      </c>
      <c r="D7" s="205"/>
      <c r="E7" s="206">
        <v>-0.18</v>
      </c>
      <c r="F7" s="147"/>
      <c r="H7" s="207">
        <f aca="true" t="shared" si="0" ref="H7:H8">E7</f>
        <v>-0.18</v>
      </c>
    </row>
    <row r="8" spans="3:8" ht="14.25">
      <c r="C8" s="208">
        <v>0.5</v>
      </c>
      <c r="D8" s="196"/>
      <c r="E8" s="209">
        <v>0.26</v>
      </c>
      <c r="F8" s="74"/>
      <c r="H8" s="207">
        <f t="shared" si="0"/>
        <v>0.26</v>
      </c>
    </row>
    <row r="9" ht="12.75">
      <c r="E9" s="188"/>
    </row>
    <row r="10" spans="2:3" ht="14.25">
      <c r="B10" s="2" t="s">
        <v>23</v>
      </c>
      <c r="C10" t="s">
        <v>156</v>
      </c>
    </row>
    <row r="11" spans="2:7" ht="14.25">
      <c r="B11" s="2" t="s">
        <v>24</v>
      </c>
      <c r="C11" t="s">
        <v>157</v>
      </c>
      <c r="E11" s="1"/>
      <c r="G11" s="1"/>
    </row>
    <row r="12" spans="2:7" ht="14.25">
      <c r="B12" s="2"/>
      <c r="C12" s="1" t="s">
        <v>158</v>
      </c>
      <c r="E12" s="1"/>
      <c r="G12" s="1"/>
    </row>
    <row r="13" spans="2:7" ht="12.75">
      <c r="B13" s="2"/>
      <c r="E13" s="1"/>
      <c r="G13" s="1"/>
    </row>
    <row r="14" ht="12.75">
      <c r="B14" s="10" t="s">
        <v>7</v>
      </c>
    </row>
    <row r="16" spans="3:6" ht="3.75" customHeight="1">
      <c r="C16" s="155"/>
      <c r="D16" s="71"/>
      <c r="E16" s="71"/>
      <c r="F16" s="72"/>
    </row>
    <row r="17" spans="2:8" ht="14.25">
      <c r="B17" s="2" t="s">
        <v>23</v>
      </c>
      <c r="C17" s="15" t="s">
        <v>116</v>
      </c>
      <c r="D17" s="16" t="s">
        <v>9</v>
      </c>
      <c r="E17" s="34">
        <f>(E7*C7)+(E8*C8)</f>
        <v>0.04000000000000001</v>
      </c>
      <c r="F17" s="147"/>
      <c r="H17" s="207">
        <f>E17</f>
        <v>0.04000000000000001</v>
      </c>
    </row>
    <row r="18" spans="3:6" ht="12.75">
      <c r="C18" s="29"/>
      <c r="D18" s="16"/>
      <c r="E18" s="146"/>
      <c r="F18" s="147"/>
    </row>
    <row r="19" spans="3:6" ht="12.75">
      <c r="C19" s="29" t="s">
        <v>85</v>
      </c>
      <c r="D19" s="16" t="s">
        <v>9</v>
      </c>
      <c r="E19" s="189">
        <f>(C7*((E7*100)-(E17*100))^2)+(C8*((E8*100)-(E17*100))^2)</f>
        <v>484</v>
      </c>
      <c r="F19" s="147"/>
    </row>
    <row r="20" spans="3:6" ht="12.75">
      <c r="C20" s="15" t="s">
        <v>111</v>
      </c>
      <c r="D20" s="16" t="s">
        <v>9</v>
      </c>
      <c r="E20" s="34">
        <f>SQRT(E19)/100</f>
        <v>0.22</v>
      </c>
      <c r="F20" s="187"/>
    </row>
    <row r="21" spans="3:6" ht="3.75" customHeight="1">
      <c r="C21" s="161"/>
      <c r="D21" s="73"/>
      <c r="E21" s="73"/>
      <c r="F21" s="74"/>
    </row>
    <row r="23" spans="2:3" ht="14.25">
      <c r="B23" s="2" t="s">
        <v>24</v>
      </c>
      <c r="C23" t="s">
        <v>159</v>
      </c>
    </row>
    <row r="24" ht="14.25">
      <c r="C24" t="s">
        <v>160</v>
      </c>
    </row>
    <row r="25" ht="14.25">
      <c r="C25" t="s">
        <v>161</v>
      </c>
    </row>
  </sheetData>
  <sheetProtection selectLockedCells="1" selectUnlockedCells="1"/>
  <mergeCells count="2">
    <mergeCell ref="C6:D6"/>
    <mergeCell ref="E6:F6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60" zoomScaleNormal="160" workbookViewId="0" topLeftCell="A1">
      <selection activeCell="C25" sqref="C25"/>
    </sheetView>
  </sheetViews>
  <sheetFormatPr defaultColWidth="9.140625" defaultRowHeight="12.75"/>
  <cols>
    <col min="1" max="2" width="2.7109375" style="1" customWidth="1"/>
    <col min="3" max="3" width="34.00390625" style="1" customWidth="1"/>
    <col min="4" max="4" width="2.140625" style="1" customWidth="1"/>
    <col min="5" max="5" width="9.00390625" style="1" customWidth="1"/>
    <col min="6" max="6" width="0.5625" style="1" customWidth="1"/>
    <col min="7" max="7" width="9.140625" style="1" customWidth="1"/>
    <col min="8" max="8" width="11.421875" style="1" customWidth="1"/>
    <col min="9" max="10" width="9.140625" style="1" customWidth="1"/>
    <col min="11" max="11" width="2.8515625" style="1" customWidth="1"/>
    <col min="12" max="16384" width="9.140625" style="1" customWidth="1"/>
  </cols>
  <sheetData>
    <row r="1" ht="12.75">
      <c r="A1" s="24"/>
    </row>
    <row r="2" ht="12.75">
      <c r="B2" s="2" t="s">
        <v>12</v>
      </c>
    </row>
    <row r="4" ht="15">
      <c r="B4" s="3" t="s">
        <v>13</v>
      </c>
    </row>
    <row r="5" ht="14.25"/>
    <row r="6" ht="16.5">
      <c r="B6" s="4" t="s">
        <v>14</v>
      </c>
    </row>
    <row r="7" ht="16.5">
      <c r="B7" s="4" t="s">
        <v>15</v>
      </c>
    </row>
    <row r="8" ht="16.5">
      <c r="B8" s="4" t="s">
        <v>16</v>
      </c>
    </row>
    <row r="10" spans="3:6" ht="14.25">
      <c r="C10" s="5" t="s">
        <v>4</v>
      </c>
      <c r="D10" s="7"/>
      <c r="E10" s="25">
        <v>40</v>
      </c>
      <c r="F10" s="7"/>
    </row>
    <row r="11" spans="3:6" ht="14.25">
      <c r="C11" s="5" t="s">
        <v>5</v>
      </c>
      <c r="D11" s="7"/>
      <c r="E11" s="26">
        <v>2</v>
      </c>
      <c r="F11" s="7"/>
    </row>
    <row r="12" spans="3:6" ht="14.25">
      <c r="C12" s="5" t="s">
        <v>6</v>
      </c>
      <c r="D12" s="23"/>
      <c r="E12" s="26">
        <v>44</v>
      </c>
      <c r="F12" s="7"/>
    </row>
    <row r="13" spans="3:6" ht="12.75">
      <c r="C13" s="27" t="s">
        <v>17</v>
      </c>
      <c r="D13" s="7"/>
      <c r="E13" s="25">
        <v>36</v>
      </c>
      <c r="F13" s="7"/>
    </row>
    <row r="14" ht="12.75">
      <c r="F14" s="11"/>
    </row>
    <row r="15" ht="12.75">
      <c r="B15" s="10" t="s">
        <v>7</v>
      </c>
    </row>
    <row r="16" ht="12.75">
      <c r="B16" s="10"/>
    </row>
    <row r="17" spans="3:8" ht="3.75" customHeight="1">
      <c r="C17" s="12"/>
      <c r="D17" s="13"/>
      <c r="E17" s="13"/>
      <c r="F17" s="13"/>
      <c r="G17" s="13"/>
      <c r="H17" s="14"/>
    </row>
    <row r="18" spans="3:8" ht="12.75">
      <c r="C18" s="15" t="s">
        <v>10</v>
      </c>
      <c r="D18" s="16" t="s">
        <v>9</v>
      </c>
      <c r="E18" s="17">
        <f>E11/E10</f>
        <v>0.05</v>
      </c>
      <c r="F18" s="11"/>
      <c r="G18" s="11"/>
      <c r="H18" s="18"/>
    </row>
    <row r="19" spans="3:8" ht="12.75">
      <c r="C19" s="15"/>
      <c r="D19" s="16"/>
      <c r="E19" s="17"/>
      <c r="F19" s="11"/>
      <c r="G19" s="11"/>
      <c r="H19" s="18"/>
    </row>
    <row r="20" spans="3:8" ht="12.75">
      <c r="C20" s="15" t="s">
        <v>18</v>
      </c>
      <c r="D20" s="16" t="s">
        <v>9</v>
      </c>
      <c r="E20" s="28">
        <f>E13-E10</f>
        <v>-4</v>
      </c>
      <c r="F20" s="11"/>
      <c r="G20" s="11"/>
      <c r="H20" s="18"/>
    </row>
    <row r="21" spans="3:8" ht="12.75">
      <c r="C21" s="15"/>
      <c r="D21" s="16"/>
      <c r="E21" s="28"/>
      <c r="F21" s="11"/>
      <c r="G21" s="11"/>
      <c r="H21" s="18"/>
    </row>
    <row r="22" spans="3:8" ht="12.75">
      <c r="C22" s="15" t="s">
        <v>11</v>
      </c>
      <c r="D22" s="16" t="s">
        <v>9</v>
      </c>
      <c r="E22" s="17">
        <f>E20/E10</f>
        <v>-0.1</v>
      </c>
      <c r="F22" s="11"/>
      <c r="G22" s="11"/>
      <c r="H22" s="18"/>
    </row>
    <row r="23" spans="3:8" ht="12.75">
      <c r="C23" s="15"/>
      <c r="D23" s="16"/>
      <c r="E23" s="17"/>
      <c r="F23" s="11"/>
      <c r="G23" s="11"/>
      <c r="H23" s="18"/>
    </row>
    <row r="24" spans="3:8" ht="14.25">
      <c r="C24" s="29" t="s">
        <v>19</v>
      </c>
      <c r="D24" s="16"/>
      <c r="E24" s="17"/>
      <c r="F24" s="11"/>
      <c r="G24" s="11"/>
      <c r="H24" s="18"/>
    </row>
    <row r="25" spans="3:8" ht="14.25">
      <c r="C25" s="30"/>
      <c r="D25" s="16"/>
      <c r="E25" s="17"/>
      <c r="F25" s="11"/>
      <c r="G25" s="11"/>
      <c r="H25" s="18"/>
    </row>
    <row r="26" spans="3:8" ht="3.75" customHeight="1">
      <c r="C26" s="21"/>
      <c r="D26" s="22"/>
      <c r="E26" s="22"/>
      <c r="F26" s="22"/>
      <c r="G26" s="22"/>
      <c r="H26" s="23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zoomScale="160" zoomScaleNormal="160" workbookViewId="0" topLeftCell="A1">
      <selection activeCell="C26" sqref="C26"/>
    </sheetView>
  </sheetViews>
  <sheetFormatPr defaultColWidth="9.140625" defaultRowHeight="12.75"/>
  <cols>
    <col min="1" max="2" width="2.7109375" style="1" customWidth="1"/>
    <col min="3" max="3" width="8.28125" style="1" customWidth="1"/>
    <col min="4" max="5" width="21.7109375" style="1" customWidth="1"/>
    <col min="6" max="6" width="11.00390625" style="1" customWidth="1"/>
    <col min="7" max="7" width="0.85546875" style="1" customWidth="1"/>
    <col min="8" max="11" width="9.140625" style="1" customWidth="1"/>
    <col min="12" max="12" width="2.00390625" style="1" customWidth="1"/>
    <col min="13" max="13" width="4.7109375" style="1" customWidth="1"/>
    <col min="14" max="16384" width="9.140625" style="1" customWidth="1"/>
  </cols>
  <sheetData>
    <row r="2" ht="15">
      <c r="B2" s="1" t="s">
        <v>20</v>
      </c>
    </row>
    <row r="3" ht="15">
      <c r="B3" s="1" t="s">
        <v>21</v>
      </c>
    </row>
    <row r="4" ht="15">
      <c r="B4" s="1" t="s">
        <v>22</v>
      </c>
    </row>
    <row r="5" ht="14.25"/>
    <row r="6" ht="14.25"/>
    <row r="8" spans="2:3" ht="12.75">
      <c r="B8" s="2" t="s">
        <v>23</v>
      </c>
      <c r="C8" s="31">
        <v>38</v>
      </c>
    </row>
    <row r="9" spans="2:3" ht="12.75">
      <c r="B9" s="2" t="s">
        <v>24</v>
      </c>
      <c r="C9" s="31">
        <v>40</v>
      </c>
    </row>
    <row r="10" spans="2:3" ht="12.75">
      <c r="B10" s="2" t="s">
        <v>25</v>
      </c>
      <c r="C10" s="31">
        <v>42</v>
      </c>
    </row>
    <row r="11" spans="4:8" ht="12.75">
      <c r="D11" s="11"/>
      <c r="G11" s="22"/>
      <c r="H11" s="11"/>
    </row>
    <row r="12" spans="3:7" ht="12.75">
      <c r="C12" s="5" t="s">
        <v>26</v>
      </c>
      <c r="D12" s="6"/>
      <c r="E12" s="7"/>
      <c r="F12" s="26">
        <v>100</v>
      </c>
      <c r="G12" s="7"/>
    </row>
    <row r="13" spans="3:7" ht="12.75">
      <c r="C13" s="5" t="s">
        <v>27</v>
      </c>
      <c r="D13" s="6"/>
      <c r="E13" s="7"/>
      <c r="F13" s="32">
        <v>40</v>
      </c>
      <c r="G13" s="7"/>
    </row>
    <row r="14" spans="3:7" ht="12.75">
      <c r="C14" s="5" t="s">
        <v>5</v>
      </c>
      <c r="D14" s="6"/>
      <c r="E14" s="7"/>
      <c r="F14" s="25">
        <v>2</v>
      </c>
      <c r="G14" s="7"/>
    </row>
    <row r="15" spans="3:7" ht="14.25">
      <c r="C15" s="5" t="s">
        <v>28</v>
      </c>
      <c r="D15" s="6"/>
      <c r="E15" s="7"/>
      <c r="F15" s="33">
        <v>0.04</v>
      </c>
      <c r="G15" s="7"/>
    </row>
    <row r="17" ht="12.75">
      <c r="B17" s="10" t="s">
        <v>7</v>
      </c>
    </row>
    <row r="18" spans="8:10" ht="12.75">
      <c r="H18" s="11"/>
      <c r="I18" s="11"/>
      <c r="J18" s="11"/>
    </row>
    <row r="19" spans="2:10" ht="3.75" customHeight="1">
      <c r="B19" s="2"/>
      <c r="C19" s="12"/>
      <c r="D19" s="13"/>
      <c r="E19" s="13"/>
      <c r="F19" s="13"/>
      <c r="G19" s="14"/>
      <c r="H19" s="11"/>
      <c r="I19" s="11"/>
      <c r="J19" s="11"/>
    </row>
    <row r="20" spans="2:10" ht="14.25">
      <c r="B20" s="2">
        <f>B8</f>
        <v>0</v>
      </c>
      <c r="C20" s="15" t="s">
        <v>29</v>
      </c>
      <c r="D20" s="11"/>
      <c r="E20" s="16" t="s">
        <v>9</v>
      </c>
      <c r="F20" s="34">
        <f>((C8-F13)+F14)/F13</f>
        <v>0</v>
      </c>
      <c r="G20" s="18"/>
      <c r="H20" s="35"/>
      <c r="I20" s="11"/>
      <c r="J20" s="11"/>
    </row>
    <row r="21" spans="3:10" ht="14.25">
      <c r="C21" s="15" t="s">
        <v>30</v>
      </c>
      <c r="D21" s="11"/>
      <c r="E21" s="16" t="s">
        <v>9</v>
      </c>
      <c r="F21" s="17">
        <f>((1+F20)/(1+F15))-1</f>
        <v>-0.03846153846153855</v>
      </c>
      <c r="G21" s="18"/>
      <c r="H21" s="36"/>
      <c r="I21" s="11"/>
      <c r="J21" s="11"/>
    </row>
    <row r="22" spans="3:10" ht="12.75">
      <c r="C22" s="29"/>
      <c r="D22" s="11"/>
      <c r="E22" s="16"/>
      <c r="F22" s="17"/>
      <c r="G22" s="18"/>
      <c r="H22" s="36"/>
      <c r="I22" s="11"/>
      <c r="J22" s="11"/>
    </row>
    <row r="23" spans="2:10" ht="14.25">
      <c r="B23" s="2">
        <f>B9</f>
        <v>0</v>
      </c>
      <c r="C23" s="15" t="s">
        <v>29</v>
      </c>
      <c r="D23" s="11"/>
      <c r="E23" s="16" t="s">
        <v>9</v>
      </c>
      <c r="F23" s="34">
        <f>((C9-F13)+F14)/F13</f>
        <v>0.05</v>
      </c>
      <c r="G23" s="18"/>
      <c r="H23" s="35"/>
      <c r="I23" s="11"/>
      <c r="J23" s="11"/>
    </row>
    <row r="24" spans="3:10" ht="14.25">
      <c r="C24" s="15" t="s">
        <v>30</v>
      </c>
      <c r="D24" s="11"/>
      <c r="E24" s="16" t="s">
        <v>9</v>
      </c>
      <c r="F24" s="17">
        <f>((1+F23)/(1+F15))-1</f>
        <v>0.009615384615384581</v>
      </c>
      <c r="G24" s="18"/>
      <c r="H24" s="36"/>
      <c r="I24" s="11"/>
      <c r="J24" s="11"/>
    </row>
    <row r="25" spans="3:10" ht="12.75">
      <c r="C25" s="29"/>
      <c r="D25" s="11"/>
      <c r="E25" s="16"/>
      <c r="F25" s="19"/>
      <c r="G25" s="18"/>
      <c r="H25" s="11"/>
      <c r="I25" s="11"/>
      <c r="J25" s="11"/>
    </row>
    <row r="26" spans="2:10" ht="14.25">
      <c r="B26" s="2">
        <f>B10</f>
        <v>0</v>
      </c>
      <c r="C26" s="15" t="s">
        <v>29</v>
      </c>
      <c r="D26" s="11"/>
      <c r="E26" s="16" t="s">
        <v>9</v>
      </c>
      <c r="F26" s="34">
        <f>((C10-F13)+F14)/F13</f>
        <v>0.1</v>
      </c>
      <c r="G26" s="18"/>
      <c r="H26" s="35"/>
      <c r="I26" s="11"/>
      <c r="J26" s="11"/>
    </row>
    <row r="27" spans="3:10" ht="14.25">
      <c r="C27" s="15" t="s">
        <v>30</v>
      </c>
      <c r="D27" s="11"/>
      <c r="E27" s="16" t="s">
        <v>9</v>
      </c>
      <c r="F27" s="17">
        <f>((1+F26)/(1+F15))-1</f>
        <v>0.05769230769230771</v>
      </c>
      <c r="G27" s="37"/>
      <c r="H27" s="11"/>
      <c r="I27" s="11"/>
      <c r="J27" s="11"/>
    </row>
    <row r="28" spans="2:10" ht="3.75" customHeight="1">
      <c r="B28" s="18"/>
      <c r="C28" s="21"/>
      <c r="D28" s="22"/>
      <c r="E28" s="22"/>
      <c r="F28" s="22"/>
      <c r="G28" s="23"/>
      <c r="H28" s="11"/>
      <c r="I28" s="11"/>
      <c r="J28" s="1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zoomScale="160" zoomScaleNormal="160" workbookViewId="0" topLeftCell="A10">
      <selection activeCell="C32" sqref="C32"/>
    </sheetView>
  </sheetViews>
  <sheetFormatPr defaultColWidth="9.140625" defaultRowHeight="12.75"/>
  <cols>
    <col min="1" max="2" width="2.7109375" style="1" customWidth="1"/>
    <col min="3" max="3" width="9.140625" style="1" customWidth="1"/>
    <col min="4" max="4" width="17.7109375" style="1" customWidth="1"/>
    <col min="5" max="5" width="2.140625" style="1" customWidth="1"/>
    <col min="6" max="6" width="8.28125" style="1" customWidth="1"/>
    <col min="7" max="7" width="9.57421875" style="1" customWidth="1"/>
    <col min="8" max="9" width="9.140625" style="1" customWidth="1"/>
    <col min="10" max="10" width="7.421875" style="1" customWidth="1"/>
    <col min="11" max="11" width="2.00390625" style="1" customWidth="1"/>
    <col min="12" max="12" width="10.57421875" style="1" customWidth="1"/>
    <col min="13" max="13" width="11.7109375" style="1" customWidth="1"/>
    <col min="14" max="14" width="10.421875" style="1" customWidth="1"/>
    <col min="15" max="16384" width="9.140625" style="1" customWidth="1"/>
  </cols>
  <sheetData>
    <row r="2" ht="12.75">
      <c r="B2" s="2" t="s">
        <v>31</v>
      </c>
    </row>
    <row r="4" ht="14.25"/>
    <row r="5" ht="14.25"/>
    <row r="6" ht="14.25"/>
    <row r="7" ht="14.25"/>
    <row r="9" spans="3:6" ht="17.25">
      <c r="C9" s="38" t="s">
        <v>32</v>
      </c>
      <c r="D9" s="6"/>
      <c r="E9" s="7"/>
      <c r="F9" s="24"/>
    </row>
    <row r="10" spans="3:6" ht="14.25">
      <c r="C10" s="5" t="s">
        <v>29</v>
      </c>
      <c r="D10" s="6"/>
      <c r="E10" s="7"/>
      <c r="F10" s="39">
        <v>0.95</v>
      </c>
    </row>
    <row r="11" spans="3:7" ht="14.25">
      <c r="C11" s="5" t="s">
        <v>28</v>
      </c>
      <c r="D11" s="6"/>
      <c r="E11" s="7"/>
      <c r="F11" s="39">
        <v>0.8</v>
      </c>
      <c r="G11" s="40"/>
    </row>
    <row r="12" spans="3:6" ht="14.25">
      <c r="C12" s="41" t="s">
        <v>33</v>
      </c>
      <c r="D12" s="6"/>
      <c r="E12" s="7"/>
      <c r="F12" s="39"/>
    </row>
    <row r="13" spans="3:7" ht="14.25">
      <c r="C13" s="5" t="s">
        <v>29</v>
      </c>
      <c r="D13" s="6"/>
      <c r="E13" s="7"/>
      <c r="F13" s="39">
        <v>0.12</v>
      </c>
      <c r="G13"/>
    </row>
    <row r="14" spans="3:7" ht="14.25">
      <c r="C14" s="5" t="s">
        <v>28</v>
      </c>
      <c r="D14" s="6"/>
      <c r="E14" s="7"/>
      <c r="F14" s="39">
        <v>0.02</v>
      </c>
      <c r="G14" s="40"/>
    </row>
    <row r="17" ht="12.75">
      <c r="B17" s="10" t="s">
        <v>7</v>
      </c>
    </row>
    <row r="18" spans="2:11" ht="12.75">
      <c r="B18" s="10"/>
      <c r="G18" s="11"/>
      <c r="K18" s="11"/>
    </row>
    <row r="19" spans="2:12" ht="3.75" customHeight="1">
      <c r="B19" s="42"/>
      <c r="C19" s="12"/>
      <c r="D19" s="13"/>
      <c r="E19" s="13"/>
      <c r="F19" s="13"/>
      <c r="G19" s="13"/>
      <c r="H19" s="13"/>
      <c r="I19" s="13"/>
      <c r="J19" s="14"/>
      <c r="K19" s="11"/>
      <c r="L19" s="11"/>
    </row>
    <row r="20" spans="2:11" ht="15" customHeight="1">
      <c r="B20" s="11"/>
      <c r="C20" s="15" t="s">
        <v>34</v>
      </c>
      <c r="D20" s="11"/>
      <c r="E20" s="16" t="s">
        <v>9</v>
      </c>
      <c r="F20" s="34">
        <f>((1+F10)/(1+F11))-1</f>
        <v>0.08333333333333326</v>
      </c>
      <c r="G20" s="11"/>
      <c r="H20" s="11"/>
      <c r="I20" s="11"/>
      <c r="J20" s="18"/>
      <c r="K20" s="11"/>
    </row>
    <row r="21" spans="2:11" ht="12.75">
      <c r="B21" s="11"/>
      <c r="C21" s="20"/>
      <c r="D21" s="11"/>
      <c r="E21" s="16"/>
      <c r="F21" s="36"/>
      <c r="G21" s="11"/>
      <c r="H21" s="11"/>
      <c r="I21" s="11"/>
      <c r="J21" s="18"/>
      <c r="K21" s="11"/>
    </row>
    <row r="22" spans="2:11" ht="12.75">
      <c r="B22" s="11"/>
      <c r="C22" s="15" t="s">
        <v>35</v>
      </c>
      <c r="D22" s="11"/>
      <c r="E22" s="16" t="s">
        <v>9</v>
      </c>
      <c r="F22" s="34">
        <f>((1+F13)/(1+F14))-1</f>
        <v>0.0980392156862746</v>
      </c>
      <c r="G22" s="11"/>
      <c r="H22" s="11"/>
      <c r="I22" s="11"/>
      <c r="J22" s="18"/>
      <c r="K22" s="11"/>
    </row>
    <row r="23" spans="1:11" ht="12.75">
      <c r="A23" s="11"/>
      <c r="B23" s="11"/>
      <c r="C23" s="20"/>
      <c r="D23" s="11"/>
      <c r="E23" s="11"/>
      <c r="F23" s="11"/>
      <c r="G23" s="11"/>
      <c r="H23" s="11"/>
      <c r="I23" s="11"/>
      <c r="J23" s="18"/>
      <c r="K23" s="11"/>
    </row>
    <row r="24" spans="1:11" ht="15.75" customHeight="1">
      <c r="A24" s="11"/>
      <c r="B24" s="11"/>
      <c r="C24" s="29" t="s">
        <v>36</v>
      </c>
      <c r="D24" s="11"/>
      <c r="E24" s="11"/>
      <c r="F24" s="11"/>
      <c r="G24" s="11"/>
      <c r="H24" s="11"/>
      <c r="I24" s="11"/>
      <c r="J24" s="18"/>
      <c r="K24" s="11"/>
    </row>
    <row r="25" spans="1:11" ht="14.25">
      <c r="A25" s="11"/>
      <c r="B25" s="11"/>
      <c r="C25" s="29"/>
      <c r="D25" s="11"/>
      <c r="E25" s="11"/>
      <c r="F25" s="11"/>
      <c r="G25" s="11"/>
      <c r="H25" s="11"/>
      <c r="I25" s="11"/>
      <c r="J25" s="18"/>
      <c r="K25" s="11"/>
    </row>
    <row r="26" spans="1:11" ht="12.75">
      <c r="A26" s="11"/>
      <c r="B26" s="11"/>
      <c r="C26" s="29"/>
      <c r="D26" s="11"/>
      <c r="E26" s="11"/>
      <c r="F26" s="11"/>
      <c r="G26" s="11"/>
      <c r="H26" s="11"/>
      <c r="I26" s="11"/>
      <c r="J26" s="18"/>
      <c r="K26" s="11"/>
    </row>
    <row r="27" spans="1:11" ht="14.25">
      <c r="A27" s="11"/>
      <c r="B27" s="11"/>
      <c r="C27" s="29" t="s">
        <v>37</v>
      </c>
      <c r="D27" s="11"/>
      <c r="E27" s="11"/>
      <c r="F27" s="11"/>
      <c r="G27" s="11"/>
      <c r="H27" s="11"/>
      <c r="I27" s="11"/>
      <c r="J27" s="18"/>
      <c r="K27" s="11"/>
    </row>
    <row r="28" spans="1:11" ht="14.25">
      <c r="A28" s="11"/>
      <c r="B28" s="11"/>
      <c r="C28" s="29"/>
      <c r="D28" s="11"/>
      <c r="E28" s="11"/>
      <c r="F28" s="11"/>
      <c r="G28" s="11"/>
      <c r="H28" s="11"/>
      <c r="I28" s="11"/>
      <c r="J28" s="18"/>
      <c r="K28" s="11"/>
    </row>
    <row r="29" spans="1:11" ht="14.25">
      <c r="A29" s="11"/>
      <c r="B29" s="11"/>
      <c r="C29" s="29" t="s">
        <v>38</v>
      </c>
      <c r="D29" s="11"/>
      <c r="E29" s="11"/>
      <c r="F29" s="11"/>
      <c r="G29" s="11"/>
      <c r="H29" s="11"/>
      <c r="I29" s="11"/>
      <c r="J29" s="18"/>
      <c r="K29" s="11"/>
    </row>
    <row r="30" spans="1:11" ht="12.75">
      <c r="A30" s="11"/>
      <c r="B30" s="11"/>
      <c r="C30" s="29"/>
      <c r="D30" s="11"/>
      <c r="E30" s="11"/>
      <c r="F30" s="11"/>
      <c r="G30" s="11"/>
      <c r="H30" s="11"/>
      <c r="I30" s="11"/>
      <c r="J30" s="18"/>
      <c r="K30" s="11"/>
    </row>
    <row r="31" spans="1:11" ht="14.25">
      <c r="A31" s="11"/>
      <c r="B31" s="11"/>
      <c r="C31" s="29" t="s">
        <v>39</v>
      </c>
      <c r="D31" s="11"/>
      <c r="E31" s="11"/>
      <c r="F31" s="11"/>
      <c r="G31" s="11"/>
      <c r="H31" s="11"/>
      <c r="I31" s="11"/>
      <c r="J31" s="18"/>
      <c r="K31" s="11"/>
    </row>
    <row r="32" spans="1:11" ht="14.25">
      <c r="A32" s="11"/>
      <c r="B32" s="11"/>
      <c r="C32" s="29"/>
      <c r="D32" s="11"/>
      <c r="E32" s="11"/>
      <c r="F32" s="11"/>
      <c r="G32" s="11"/>
      <c r="H32" s="11"/>
      <c r="I32" s="11"/>
      <c r="J32" s="18"/>
      <c r="K32" s="11"/>
    </row>
    <row r="33" spans="2:12" ht="3.75" customHeight="1">
      <c r="B33" s="11"/>
      <c r="C33" s="21"/>
      <c r="D33" s="22"/>
      <c r="E33" s="22"/>
      <c r="F33" s="22"/>
      <c r="G33" s="22"/>
      <c r="H33" s="22"/>
      <c r="I33" s="22"/>
      <c r="J33" s="23"/>
      <c r="K33" s="20"/>
      <c r="L33" s="1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zoomScale="160" zoomScaleNormal="160" workbookViewId="0" topLeftCell="A1">
      <selection activeCell="E15" sqref="E15"/>
    </sheetView>
  </sheetViews>
  <sheetFormatPr defaultColWidth="9.140625" defaultRowHeight="12.75"/>
  <cols>
    <col min="1" max="2" width="2.7109375" style="1" customWidth="1"/>
    <col min="3" max="3" width="21.140625" style="1" customWidth="1"/>
    <col min="4" max="4" width="15.140625" style="1" customWidth="1"/>
    <col min="5" max="5" width="18.421875" style="1" customWidth="1"/>
    <col min="6" max="6" width="10.00390625" style="1" customWidth="1"/>
    <col min="7" max="7" width="0.85546875" style="1" customWidth="1"/>
    <col min="8" max="16384" width="9.140625" style="1" customWidth="1"/>
  </cols>
  <sheetData>
    <row r="2" ht="12.75">
      <c r="B2" s="2" t="s">
        <v>40</v>
      </c>
    </row>
    <row r="4" ht="12.75">
      <c r="B4" s="1" t="s">
        <v>41</v>
      </c>
    </row>
    <row r="5" ht="12.75">
      <c r="B5" s="1" t="s">
        <v>42</v>
      </c>
    </row>
    <row r="6" ht="12.75">
      <c r="B6" s="1" t="s">
        <v>43</v>
      </c>
    </row>
    <row r="8" ht="12.75">
      <c r="B8" s="10" t="s">
        <v>44</v>
      </c>
    </row>
    <row r="9" spans="3:5" ht="12.75" customHeight="1">
      <c r="C9" s="43" t="s">
        <v>45</v>
      </c>
      <c r="D9" s="44" t="s">
        <v>46</v>
      </c>
      <c r="E9" s="45" t="s">
        <v>47</v>
      </c>
    </row>
    <row r="10" spans="3:5" ht="12.75">
      <c r="C10" s="43"/>
      <c r="D10" s="44"/>
      <c r="E10" s="45"/>
    </row>
    <row r="11" spans="3:5" ht="12.75">
      <c r="C11" s="43"/>
      <c r="D11" s="44"/>
      <c r="E11" s="45"/>
    </row>
    <row r="12" spans="3:5" ht="12.75">
      <c r="C12" s="43"/>
      <c r="D12" s="44"/>
      <c r="E12" s="45"/>
    </row>
    <row r="13" spans="3:5" ht="3.75" customHeight="1">
      <c r="C13" s="46"/>
      <c r="D13" s="47"/>
      <c r="E13" s="48"/>
    </row>
    <row r="14" spans="3:5" ht="17.25">
      <c r="C14" s="49" t="s">
        <v>48</v>
      </c>
      <c r="D14" s="50">
        <v>0.04</v>
      </c>
      <c r="E14" s="51"/>
    </row>
    <row r="15" spans="3:6" ht="15">
      <c r="C15" s="38" t="s">
        <v>49</v>
      </c>
      <c r="D15" s="52">
        <v>0.052</v>
      </c>
      <c r="E15" s="52">
        <v>0.012</v>
      </c>
      <c r="F15" s="40"/>
    </row>
    <row r="16" spans="3:6" ht="14.25">
      <c r="C16" s="53" t="s">
        <v>50</v>
      </c>
      <c r="D16" s="50">
        <v>0.114</v>
      </c>
      <c r="E16" s="50">
        <v>0.074</v>
      </c>
      <c r="F16" s="40"/>
    </row>
    <row r="17" spans="3:5" ht="3.75" customHeight="1">
      <c r="C17" s="54"/>
      <c r="D17" s="55"/>
      <c r="E17" s="55"/>
    </row>
    <row r="18" spans="5:8" ht="12.75">
      <c r="E18" s="56"/>
      <c r="H18" s="57"/>
    </row>
    <row r="19" spans="3:4" ht="12.75">
      <c r="C19" s="58" t="s">
        <v>51</v>
      </c>
      <c r="D19" s="52">
        <v>0.031</v>
      </c>
    </row>
    <row r="21" ht="12.75">
      <c r="B21" s="10" t="s">
        <v>7</v>
      </c>
    </row>
    <row r="22" ht="12.75">
      <c r="B22" s="10"/>
    </row>
    <row r="23" spans="3:7" ht="3.75" customHeight="1">
      <c r="C23" s="45" t="s">
        <v>52</v>
      </c>
      <c r="D23" s="45" t="s">
        <v>53</v>
      </c>
      <c r="E23" s="45" t="s">
        <v>28</v>
      </c>
      <c r="F23" s="45" t="s">
        <v>30</v>
      </c>
      <c r="G23" s="45"/>
    </row>
    <row r="24" spans="3:7" ht="14.25">
      <c r="C24" s="45"/>
      <c r="D24" s="45"/>
      <c r="E24" s="45"/>
      <c r="F24" s="45"/>
      <c r="G24" s="45"/>
    </row>
    <row r="25" spans="3:7" ht="14.25">
      <c r="C25" s="45"/>
      <c r="D25" s="45"/>
      <c r="E25" s="45"/>
      <c r="F25" s="45"/>
      <c r="G25" s="45"/>
    </row>
    <row r="26" spans="3:7" ht="3.75" customHeight="1">
      <c r="C26" s="59"/>
      <c r="D26" s="60"/>
      <c r="E26" s="60"/>
      <c r="F26" s="61"/>
      <c r="G26" s="48"/>
    </row>
    <row r="27" spans="3:7" ht="17.25">
      <c r="C27" s="49" t="s">
        <v>48</v>
      </c>
      <c r="D27" s="62">
        <f aca="true" t="shared" si="0" ref="D27:D29">D14</f>
        <v>0.04</v>
      </c>
      <c r="E27" s="63">
        <f>D19</f>
        <v>0.031</v>
      </c>
      <c r="F27" s="64">
        <f aca="true" t="shared" si="1" ref="F27:F29">((1+D27)/(1+E27))-1</f>
        <v>0.008729388942774197</v>
      </c>
      <c r="G27" s="18"/>
    </row>
    <row r="28" spans="3:7" ht="17.25">
      <c r="C28" s="38" t="s">
        <v>49</v>
      </c>
      <c r="D28" s="65">
        <f t="shared" si="0"/>
        <v>0.052</v>
      </c>
      <c r="E28" s="65">
        <f>D19</f>
        <v>0.031</v>
      </c>
      <c r="F28" s="66">
        <f t="shared" si="1"/>
        <v>0.02036857419980609</v>
      </c>
      <c r="G28" s="7"/>
    </row>
    <row r="29" spans="3:7" ht="14.25">
      <c r="C29" s="53" t="s">
        <v>50</v>
      </c>
      <c r="D29" s="62">
        <f t="shared" si="0"/>
        <v>0.114</v>
      </c>
      <c r="E29" s="63">
        <f>D19</f>
        <v>0.031</v>
      </c>
      <c r="F29" s="64">
        <f t="shared" si="1"/>
        <v>0.08050436469447164</v>
      </c>
      <c r="G29" s="18"/>
    </row>
    <row r="30" spans="3:7" ht="3.75" customHeight="1">
      <c r="C30" s="67"/>
      <c r="D30" s="68"/>
      <c r="E30" s="69"/>
      <c r="F30" s="70"/>
      <c r="G30" s="23"/>
    </row>
  </sheetData>
  <sheetProtection selectLockedCells="1" selectUnlockedCells="1"/>
  <mergeCells count="7">
    <mergeCell ref="C9:C12"/>
    <mergeCell ref="D9:D12"/>
    <mergeCell ref="E9:E12"/>
    <mergeCell ref="C23:C25"/>
    <mergeCell ref="D23:D25"/>
    <mergeCell ref="E23:E25"/>
    <mergeCell ref="F23:G25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6"/>
  <sheetViews>
    <sheetView tabSelected="1" zoomScale="160" zoomScaleNormal="160" workbookViewId="0" topLeftCell="A4">
      <selection activeCell="C18" sqref="C18"/>
    </sheetView>
  </sheetViews>
  <sheetFormatPr defaultColWidth="9.140625" defaultRowHeight="12.75"/>
  <cols>
    <col min="1" max="2" width="2.7109375" style="0" customWidth="1"/>
    <col min="3" max="3" width="9.28125" style="0" customWidth="1"/>
    <col min="4" max="4" width="14.57421875" style="0" customWidth="1"/>
    <col min="5" max="5" width="13.00390625" style="0" customWidth="1"/>
    <col min="6" max="6" width="13.421875" style="0" customWidth="1"/>
    <col min="7" max="7" width="12.8515625" style="0" customWidth="1"/>
    <col min="8" max="8" width="12.28125" style="0" customWidth="1"/>
    <col min="9" max="9" width="3.00390625" style="0" customWidth="1"/>
  </cols>
  <sheetData>
    <row r="2" ht="12.75">
      <c r="B2" s="2" t="s">
        <v>54</v>
      </c>
    </row>
    <row r="4" ht="16.5">
      <c r="B4" s="4" t="s">
        <v>55</v>
      </c>
    </row>
    <row r="5" ht="15">
      <c r="B5" s="3" t="s">
        <v>56</v>
      </c>
    </row>
    <row r="6" ht="14.25"/>
    <row r="8" spans="3:8" ht="16.5">
      <c r="C8" s="4" t="s">
        <v>57</v>
      </c>
      <c r="D8" s="71"/>
      <c r="E8" s="71"/>
      <c r="F8" s="71"/>
      <c r="G8" s="71"/>
      <c r="H8" s="72"/>
    </row>
    <row r="9" spans="3:8" ht="16.5">
      <c r="C9" s="4" t="s">
        <v>58</v>
      </c>
      <c r="D9" s="73"/>
      <c r="E9" s="73"/>
      <c r="F9" s="73"/>
      <c r="G9" s="73"/>
      <c r="H9" s="74"/>
    </row>
    <row r="10" spans="3:8" ht="12.75" customHeight="1">
      <c r="C10" s="43" t="s">
        <v>59</v>
      </c>
      <c r="D10" s="45" t="s">
        <v>60</v>
      </c>
      <c r="E10" s="45" t="s">
        <v>61</v>
      </c>
      <c r="F10" s="45" t="s">
        <v>62</v>
      </c>
      <c r="G10" s="45" t="s">
        <v>63</v>
      </c>
      <c r="H10" s="45" t="s">
        <v>64</v>
      </c>
    </row>
    <row r="11" spans="3:8" ht="12.75" customHeight="1">
      <c r="C11" s="43"/>
      <c r="D11" s="45"/>
      <c r="E11" s="45"/>
      <c r="F11" s="45"/>
      <c r="G11" s="45"/>
      <c r="H11" s="45"/>
    </row>
    <row r="12" spans="3:8" ht="14.25">
      <c r="C12" s="43"/>
      <c r="D12" s="45"/>
      <c r="E12" s="45"/>
      <c r="F12" s="45"/>
      <c r="G12" s="45"/>
      <c r="H12" s="45"/>
    </row>
    <row r="13" spans="3:8" ht="16.5" customHeight="1">
      <c r="C13" s="43"/>
      <c r="D13" s="45"/>
      <c r="E13" s="45"/>
      <c r="F13" s="45"/>
      <c r="G13" s="45"/>
      <c r="H13" s="45"/>
    </row>
    <row r="14" spans="3:8" ht="16.5" customHeight="1">
      <c r="C14" s="75"/>
      <c r="D14" s="76">
        <v>184</v>
      </c>
      <c r="E14" s="76">
        <v>42</v>
      </c>
      <c r="F14" s="76">
        <v>64</v>
      </c>
      <c r="G14" s="76">
        <v>38</v>
      </c>
      <c r="H14" s="76">
        <v>16</v>
      </c>
    </row>
    <row r="15" spans="3:8" ht="14.25">
      <c r="C15" s="77">
        <f aca="true" t="shared" si="0" ref="C15:C19">C16-1</f>
        <v>2016</v>
      </c>
      <c r="D15" s="78">
        <v>55.1</v>
      </c>
      <c r="E15" s="79">
        <v>80</v>
      </c>
      <c r="F15" s="79">
        <v>21.45</v>
      </c>
      <c r="G15" s="79">
        <v>82.5</v>
      </c>
      <c r="H15" s="79">
        <v>135</v>
      </c>
    </row>
    <row r="16" spans="3:8" ht="14.25">
      <c r="C16" s="77">
        <f t="shared" si="0"/>
        <v>2017</v>
      </c>
      <c r="D16" s="76">
        <v>58.15</v>
      </c>
      <c r="E16" s="76">
        <v>144.62</v>
      </c>
      <c r="F16" s="76">
        <v>24.04</v>
      </c>
      <c r="G16" s="76">
        <v>115.52</v>
      </c>
      <c r="H16" s="76">
        <v>151.22</v>
      </c>
    </row>
    <row r="17" spans="3:8" ht="14.25">
      <c r="C17" s="77">
        <f t="shared" si="0"/>
        <v>2018</v>
      </c>
      <c r="D17" s="76">
        <v>58.45</v>
      </c>
      <c r="E17" s="76">
        <v>135.93</v>
      </c>
      <c r="F17" s="76">
        <v>26.53</v>
      </c>
      <c r="G17" s="76">
        <v>138.9</v>
      </c>
      <c r="H17" s="76">
        <v>166.99</v>
      </c>
    </row>
    <row r="18" spans="3:8" ht="14.25">
      <c r="C18" s="77">
        <f t="shared" si="0"/>
        <v>2019</v>
      </c>
      <c r="D18" s="76">
        <v>52.43</v>
      </c>
      <c r="E18" s="76">
        <v>74.61</v>
      </c>
      <c r="F18" s="76">
        <v>23.53</v>
      </c>
      <c r="G18" s="76">
        <v>121.02</v>
      </c>
      <c r="H18" s="76">
        <v>149.42</v>
      </c>
    </row>
    <row r="19" spans="3:8" ht="14.25">
      <c r="C19" s="77">
        <f t="shared" si="0"/>
        <v>2020</v>
      </c>
      <c r="D19" s="76">
        <v>52.5</v>
      </c>
      <c r="E19" s="76">
        <v>75.01</v>
      </c>
      <c r="F19" s="76">
        <v>32.46</v>
      </c>
      <c r="G19" s="76">
        <v>174.62</v>
      </c>
      <c r="H19" s="76">
        <v>177.27</v>
      </c>
    </row>
    <row r="20" spans="3:8" ht="12.75">
      <c r="C20" s="80">
        <v>2021</v>
      </c>
      <c r="D20" s="81">
        <v>54.82</v>
      </c>
      <c r="E20" s="81">
        <v>67.22</v>
      </c>
      <c r="F20" s="81">
        <v>34.48</v>
      </c>
      <c r="G20" s="81">
        <v>164.48</v>
      </c>
      <c r="H20" s="82">
        <v>165.52</v>
      </c>
    </row>
    <row r="21" spans="3:8" ht="3.75" customHeight="1">
      <c r="C21" s="83"/>
      <c r="D21" s="83"/>
      <c r="E21" s="83"/>
      <c r="F21" s="83"/>
      <c r="G21" s="83"/>
      <c r="H21" s="74"/>
    </row>
    <row r="22" ht="12.75">
      <c r="C22" s="84" t="s">
        <v>65</v>
      </c>
    </row>
    <row r="24" ht="12.75">
      <c r="B24" s="42" t="s">
        <v>7</v>
      </c>
    </row>
    <row r="25" ht="12.75">
      <c r="B25" s="42"/>
    </row>
    <row r="26" spans="3:7" ht="3.75" customHeight="1">
      <c r="C26" s="45" t="s">
        <v>59</v>
      </c>
      <c r="D26" s="85" t="s">
        <v>66</v>
      </c>
      <c r="E26" s="85" t="s">
        <v>67</v>
      </c>
      <c r="F26" s="85" t="s">
        <v>68</v>
      </c>
      <c r="G26" s="85" t="s">
        <v>69</v>
      </c>
    </row>
    <row r="27" spans="3:8" ht="25.5" customHeight="1">
      <c r="C27" s="45"/>
      <c r="D27" s="85"/>
      <c r="E27" s="85"/>
      <c r="F27" s="85"/>
      <c r="G27" s="85"/>
      <c r="H27" s="1"/>
    </row>
    <row r="28" spans="3:8" ht="12.75">
      <c r="C28" s="45"/>
      <c r="D28" s="85"/>
      <c r="E28" s="85"/>
      <c r="F28" s="85"/>
      <c r="G28" s="85"/>
      <c r="H28" s="1"/>
    </row>
    <row r="29" spans="3:8" ht="3.75" customHeight="1">
      <c r="C29" s="86"/>
      <c r="D29" s="87"/>
      <c r="E29" s="87"/>
      <c r="F29" s="88"/>
      <c r="G29" s="48"/>
      <c r="H29" s="1"/>
    </row>
    <row r="30" spans="3:15" ht="14.25">
      <c r="C30" s="80">
        <v>2005</v>
      </c>
      <c r="D30" s="89">
        <f aca="true" t="shared" si="1" ref="D30:D35">ROUND(AVERAGE(D15:H15),2)</f>
        <v>74.81</v>
      </c>
      <c r="E30" s="90">
        <f>100</f>
        <v>100</v>
      </c>
      <c r="F30" s="89">
        <f>ROUND((D15*D14)+(E15*E14)+(F15*F14)+(G15*G14)+(H15*H14),2)</f>
        <v>20166.2</v>
      </c>
      <c r="G30" s="91">
        <f>100</f>
        <v>100</v>
      </c>
      <c r="K30">
        <v>100</v>
      </c>
      <c r="M30">
        <f aca="true" t="shared" si="2" ref="M30:M35">SUMPRODUCT($D$14:$H$14,D15:H15)</f>
        <v>20166.2</v>
      </c>
      <c r="O30">
        <v>100</v>
      </c>
    </row>
    <row r="31" spans="3:15" ht="14.25">
      <c r="C31" s="77">
        <v>2006</v>
      </c>
      <c r="D31" s="92">
        <f t="shared" si="1"/>
        <v>98.71</v>
      </c>
      <c r="E31" s="93">
        <f aca="true" t="shared" si="3" ref="E31:E35">ROUND(D31*E30/D30,2)</f>
        <v>131.95</v>
      </c>
      <c r="F31" s="92">
        <f>(D16*D14)+(E16*E14)+(F16*F14)+(G16*G14)+(H16*H14)</f>
        <v>25121.48</v>
      </c>
      <c r="G31" s="93">
        <f aca="true" t="shared" si="4" ref="G31:G35">ROUND(F31*G30/F30,2)</f>
        <v>124.57</v>
      </c>
      <c r="J31">
        <f aca="true" t="shared" si="5" ref="J31:J35">1+(D31/D30-1)</f>
        <v>1.3194760058815664</v>
      </c>
      <c r="K31" s="94">
        <f aca="true" t="shared" si="6" ref="K31:K35">K30*J31</f>
        <v>131.94760058815663</v>
      </c>
      <c r="M31">
        <f t="shared" si="2"/>
        <v>25121.48</v>
      </c>
      <c r="N31">
        <f aca="true" t="shared" si="7" ref="N31:N35">1+(M31/M30-1)</f>
        <v>1.2457220497664407</v>
      </c>
      <c r="O31">
        <f aca="true" t="shared" si="8" ref="O31:O35">N31*O30</f>
        <v>124.57220497664407</v>
      </c>
    </row>
    <row r="32" spans="3:15" ht="14.25">
      <c r="C32" s="77">
        <v>2007</v>
      </c>
      <c r="D32" s="92">
        <f t="shared" si="1"/>
        <v>105.36</v>
      </c>
      <c r="E32" s="93">
        <f t="shared" si="3"/>
        <v>140.84</v>
      </c>
      <c r="F32" s="92">
        <f>(D17*D14)+(E17*E14)+(F17*F14)+(G17*G14)+(H17*H14)</f>
        <v>26111.82</v>
      </c>
      <c r="G32" s="93">
        <f t="shared" si="4"/>
        <v>129.48</v>
      </c>
      <c r="J32">
        <f t="shared" si="5"/>
        <v>1.067369060885422</v>
      </c>
      <c r="K32" s="94">
        <f t="shared" si="6"/>
        <v>140.8367865258655</v>
      </c>
      <c r="M32">
        <f t="shared" si="2"/>
        <v>26111.82</v>
      </c>
      <c r="N32">
        <f t="shared" si="7"/>
        <v>1.0394220404211854</v>
      </c>
      <c r="O32">
        <f t="shared" si="8"/>
        <v>129.4830954765895</v>
      </c>
    </row>
    <row r="33" spans="3:15" ht="14.25">
      <c r="C33" s="77">
        <v>2008</v>
      </c>
      <c r="D33" s="92">
        <f t="shared" si="1"/>
        <v>84.2</v>
      </c>
      <c r="E33" s="93">
        <f t="shared" si="3"/>
        <v>112.55</v>
      </c>
      <c r="F33" s="92">
        <f>(D18*D14)+(E18*E14)+(F18*F14)+(G18*G14)+(H18*H14)</f>
        <v>21276.140000000003</v>
      </c>
      <c r="G33" s="93">
        <f t="shared" si="4"/>
        <v>105.5</v>
      </c>
      <c r="J33">
        <f t="shared" si="5"/>
        <v>0.7991647684130601</v>
      </c>
      <c r="K33" s="94">
        <f t="shared" si="6"/>
        <v>112.55179788798289</v>
      </c>
      <c r="M33">
        <f t="shared" si="2"/>
        <v>21276.14</v>
      </c>
      <c r="N33">
        <f t="shared" si="7"/>
        <v>0.8148087724256677</v>
      </c>
      <c r="O33">
        <f t="shared" si="8"/>
        <v>105.50396207515543</v>
      </c>
    </row>
    <row r="34" spans="3:15" ht="14.25">
      <c r="C34" s="77">
        <v>2009</v>
      </c>
      <c r="D34" s="92">
        <f t="shared" si="1"/>
        <v>102.37</v>
      </c>
      <c r="E34" s="93">
        <f t="shared" si="3"/>
        <v>136.84</v>
      </c>
      <c r="F34" s="92">
        <f>(D19*D14)+(E19*E14)+(F19*F14)+(G19*G14)+(H19*H14)</f>
        <v>24359.74</v>
      </c>
      <c r="G34" s="93">
        <f t="shared" si="4"/>
        <v>120.79</v>
      </c>
      <c r="J34">
        <f t="shared" si="5"/>
        <v>1.2157957244655582</v>
      </c>
      <c r="K34" s="94">
        <f t="shared" si="6"/>
        <v>136.83999465312124</v>
      </c>
      <c r="M34">
        <f t="shared" si="2"/>
        <v>24359.74</v>
      </c>
      <c r="N34">
        <f t="shared" si="7"/>
        <v>1.1449323044499615</v>
      </c>
      <c r="O34">
        <f t="shared" si="8"/>
        <v>120.79489442730905</v>
      </c>
    </row>
    <row r="35" spans="3:15" ht="24" customHeight="1">
      <c r="C35" s="80">
        <v>2010</v>
      </c>
      <c r="D35" s="95">
        <f t="shared" si="1"/>
        <v>97.3</v>
      </c>
      <c r="E35" s="90">
        <f t="shared" si="3"/>
        <v>130.06</v>
      </c>
      <c r="F35" s="95">
        <f>(D20*D14)+(E20*E14)+(F20*F14)+(G20*G14)+(H20*H14)</f>
        <v>24015.399999999998</v>
      </c>
      <c r="G35" s="91">
        <f t="shared" si="4"/>
        <v>119.08</v>
      </c>
      <c r="J35">
        <f t="shared" si="5"/>
        <v>0.9504737716127771</v>
      </c>
      <c r="K35" s="94">
        <f t="shared" si="6"/>
        <v>130.0628258254244</v>
      </c>
      <c r="M35">
        <f t="shared" si="2"/>
        <v>24015.399999999998</v>
      </c>
      <c r="N35">
        <f t="shared" si="7"/>
        <v>0.9858643811469251</v>
      </c>
      <c r="O35">
        <f t="shared" si="8"/>
        <v>119.08738384028719</v>
      </c>
    </row>
    <row r="36" spans="3:7" ht="14.25">
      <c r="C36" s="83"/>
      <c r="D36" s="96"/>
      <c r="E36" s="96"/>
      <c r="F36" s="96"/>
      <c r="G36" s="97"/>
    </row>
  </sheetData>
  <sheetProtection selectLockedCells="1" selectUnlockedCells="1"/>
  <mergeCells count="11">
    <mergeCell ref="C10:C13"/>
    <mergeCell ref="D10:D13"/>
    <mergeCell ref="E10:E13"/>
    <mergeCell ref="F10:F13"/>
    <mergeCell ref="G10:G13"/>
    <mergeCell ref="H10:H13"/>
    <mergeCell ref="C26:C28"/>
    <mergeCell ref="D26:D28"/>
    <mergeCell ref="E26:E28"/>
    <mergeCell ref="F26:F28"/>
    <mergeCell ref="G26:G28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0"/>
  <sheetViews>
    <sheetView zoomScale="160" zoomScaleNormal="160" workbookViewId="0" topLeftCell="A19">
      <selection activeCell="G39" sqref="G39"/>
    </sheetView>
  </sheetViews>
  <sheetFormatPr defaultColWidth="9.140625" defaultRowHeight="12.75"/>
  <cols>
    <col min="1" max="2" width="2.7109375" style="1" customWidth="1"/>
    <col min="3" max="3" width="9.28125" style="1" customWidth="1"/>
    <col min="4" max="4" width="12.8515625" style="1" customWidth="1"/>
    <col min="5" max="5" width="11.140625" style="1" customWidth="1"/>
    <col min="6" max="6" width="9.28125" style="1" customWidth="1"/>
    <col min="7" max="7" width="10.00390625" style="1" customWidth="1"/>
    <col min="8" max="8" width="9.7109375" style="1" customWidth="1"/>
    <col min="9" max="9" width="0.85546875" style="1" customWidth="1"/>
    <col min="10" max="16384" width="9.140625" style="1" customWidth="1"/>
  </cols>
  <sheetData>
    <row r="2" ht="12.75">
      <c r="B2" s="2" t="s">
        <v>70</v>
      </c>
    </row>
    <row r="4" ht="15">
      <c r="B4" s="3" t="s">
        <v>71</v>
      </c>
    </row>
    <row r="5" ht="12.75">
      <c r="B5" s="98"/>
    </row>
    <row r="6" spans="3:5" ht="23.25" customHeight="1">
      <c r="C6" s="99" t="s">
        <v>59</v>
      </c>
      <c r="D6" s="100" t="s">
        <v>72</v>
      </c>
      <c r="E6" s="101" t="s">
        <v>73</v>
      </c>
    </row>
    <row r="7" spans="3:5" ht="14.25">
      <c r="C7" s="99"/>
      <c r="D7" s="100"/>
      <c r="E7" s="101"/>
    </row>
    <row r="8" spans="3:8" ht="12.75">
      <c r="C8" s="77">
        <v>2006</v>
      </c>
      <c r="D8" s="102">
        <v>15.77</v>
      </c>
      <c r="E8" s="102">
        <v>4.8</v>
      </c>
      <c r="G8" s="40"/>
      <c r="H8" s="103"/>
    </row>
    <row r="9" spans="3:8" ht="12.75">
      <c r="C9" s="77">
        <v>2007</v>
      </c>
      <c r="D9" s="102">
        <v>5.61</v>
      </c>
      <c r="E9" s="102">
        <v>4.66</v>
      </c>
      <c r="H9" s="103"/>
    </row>
    <row r="10" spans="3:8" ht="12.75">
      <c r="C10" s="77">
        <v>2008</v>
      </c>
      <c r="D10" s="102">
        <v>-37.23</v>
      </c>
      <c r="E10" s="102">
        <v>1.6</v>
      </c>
      <c r="H10" s="103"/>
    </row>
    <row r="11" spans="3:8" ht="14.25">
      <c r="C11" s="77">
        <v>2009</v>
      </c>
      <c r="D11" s="102">
        <v>28.3</v>
      </c>
      <c r="E11" s="102">
        <v>0.1</v>
      </c>
      <c r="H11" s="103"/>
    </row>
    <row r="12" spans="3:8" ht="14.25">
      <c r="C12" s="77">
        <v>2010</v>
      </c>
      <c r="D12" s="102">
        <v>17.16</v>
      </c>
      <c r="E12" s="102">
        <v>0.12</v>
      </c>
      <c r="H12" s="103"/>
    </row>
    <row r="13" ht="14.25"/>
    <row r="14" spans="2:3" ht="16.5">
      <c r="B14" s="4"/>
      <c r="C14" s="4" t="s">
        <v>74</v>
      </c>
    </row>
    <row r="15" spans="2:3" ht="16.5">
      <c r="B15" s="4"/>
      <c r="C15" s="4" t="s">
        <v>75</v>
      </c>
    </row>
    <row r="16" spans="2:3" ht="16.5">
      <c r="B16" s="4"/>
      <c r="C16" s="4" t="s">
        <v>76</v>
      </c>
    </row>
    <row r="18" ht="12.75">
      <c r="B18" s="10" t="s">
        <v>7</v>
      </c>
    </row>
    <row r="20" spans="3:9" ht="3.75" customHeight="1">
      <c r="C20" s="45" t="s">
        <v>77</v>
      </c>
      <c r="D20" s="104" t="s">
        <v>72</v>
      </c>
      <c r="E20" s="45" t="s">
        <v>78</v>
      </c>
      <c r="F20" s="105" t="s">
        <v>79</v>
      </c>
      <c r="G20" s="45" t="s">
        <v>80</v>
      </c>
      <c r="H20" s="45" t="s">
        <v>81</v>
      </c>
      <c r="I20" s="45"/>
    </row>
    <row r="21" spans="2:9" ht="12.75">
      <c r="B21" s="2" t="s">
        <v>23</v>
      </c>
      <c r="C21" s="45"/>
      <c r="D21" s="104"/>
      <c r="E21" s="45"/>
      <c r="F21" s="105"/>
      <c r="G21" s="45"/>
      <c r="H21" s="45"/>
      <c r="I21" s="45"/>
    </row>
    <row r="22" spans="3:9" ht="12.75">
      <c r="C22" s="45"/>
      <c r="D22" s="104"/>
      <c r="E22" s="45"/>
      <c r="F22" s="105"/>
      <c r="G22" s="45"/>
      <c r="H22" s="45"/>
      <c r="I22" s="45"/>
    </row>
    <row r="23" spans="3:9" ht="12.75">
      <c r="C23" s="45"/>
      <c r="D23" s="104"/>
      <c r="E23" s="45"/>
      <c r="F23" s="105"/>
      <c r="G23" s="45"/>
      <c r="H23" s="45"/>
      <c r="I23" s="45"/>
    </row>
    <row r="24" spans="3:9" ht="12.75">
      <c r="C24" s="77">
        <v>2006</v>
      </c>
      <c r="D24" s="106">
        <f aca="true" t="shared" si="0" ref="D24:D28">D8</f>
        <v>15.77</v>
      </c>
      <c r="E24" s="106">
        <f aca="true" t="shared" si="1" ref="E24:E28">E8</f>
        <v>4.8</v>
      </c>
      <c r="F24" s="107">
        <f aca="true" t="shared" si="2" ref="F24:F28">D24-E24</f>
        <v>10.969999999999999</v>
      </c>
      <c r="G24" s="108">
        <f>F24-F30</f>
        <v>7.303999999999999</v>
      </c>
      <c r="H24" s="109">
        <f aca="true" t="shared" si="3" ref="H24:H25">ROUND(G24*G24,2)</f>
        <v>53.35</v>
      </c>
      <c r="I24" s="110"/>
    </row>
    <row r="25" spans="3:9" ht="12.75">
      <c r="C25" s="77">
        <v>2007</v>
      </c>
      <c r="D25" s="106">
        <f t="shared" si="0"/>
        <v>5.61</v>
      </c>
      <c r="E25" s="106">
        <f t="shared" si="1"/>
        <v>4.66</v>
      </c>
      <c r="F25" s="107">
        <f t="shared" si="2"/>
        <v>0.9500000000000002</v>
      </c>
      <c r="G25" s="108">
        <f>F25-F30</f>
        <v>-2.7159999999999993</v>
      </c>
      <c r="H25" s="109">
        <f t="shared" si="3"/>
        <v>7.38</v>
      </c>
      <c r="I25" s="110"/>
    </row>
    <row r="26" spans="3:9" ht="12.75">
      <c r="C26" s="77">
        <v>2008</v>
      </c>
      <c r="D26" s="106">
        <f t="shared" si="0"/>
        <v>-37.23</v>
      </c>
      <c r="E26" s="106">
        <f t="shared" si="1"/>
        <v>1.6</v>
      </c>
      <c r="F26" s="107">
        <f t="shared" si="2"/>
        <v>-38.83</v>
      </c>
      <c r="G26" s="108">
        <f>F26-F30</f>
        <v>-42.495999999999995</v>
      </c>
      <c r="H26" s="109">
        <f>G26*G26</f>
        <v>1805.9100159999996</v>
      </c>
      <c r="I26" s="110"/>
    </row>
    <row r="27" spans="3:9" ht="12.75">
      <c r="C27" s="77">
        <v>2009</v>
      </c>
      <c r="D27" s="106">
        <f t="shared" si="0"/>
        <v>28.3</v>
      </c>
      <c r="E27" s="106">
        <f t="shared" si="1"/>
        <v>0.1</v>
      </c>
      <c r="F27" s="107">
        <f t="shared" si="2"/>
        <v>28.2</v>
      </c>
      <c r="G27" s="108">
        <f>F27-F30</f>
        <v>24.534</v>
      </c>
      <c r="H27" s="109">
        <f aca="true" t="shared" si="4" ref="H27:H28">ROUND(G27*G27,2)</f>
        <v>601.92</v>
      </c>
      <c r="I27" s="110"/>
    </row>
    <row r="28" spans="3:9" ht="12.75">
      <c r="C28" s="77">
        <v>2010</v>
      </c>
      <c r="D28" s="106">
        <f t="shared" si="0"/>
        <v>17.16</v>
      </c>
      <c r="E28" s="106">
        <f t="shared" si="1"/>
        <v>0.12</v>
      </c>
      <c r="F28" s="107">
        <f t="shared" si="2"/>
        <v>17.04</v>
      </c>
      <c r="G28" s="108">
        <f>F28-F30</f>
        <v>13.373999999999999</v>
      </c>
      <c r="H28" s="109">
        <f t="shared" si="4"/>
        <v>178.86</v>
      </c>
      <c r="I28" s="110"/>
    </row>
    <row r="29" spans="3:9" ht="12.75">
      <c r="C29" s="77"/>
      <c r="D29" s="106"/>
      <c r="E29" s="106" t="s">
        <v>82</v>
      </c>
      <c r="F29" s="111">
        <f>SUM(F24:F28)</f>
        <v>18.33</v>
      </c>
      <c r="G29" s="108"/>
      <c r="H29" s="109">
        <f>ROUND(SUM(H24:H28),2)</f>
        <v>2647.42</v>
      </c>
      <c r="I29" s="112"/>
    </row>
    <row r="30" spans="3:9" ht="12.75">
      <c r="C30" s="80"/>
      <c r="D30" s="113"/>
      <c r="E30" s="113" t="s">
        <v>83</v>
      </c>
      <c r="F30" s="114">
        <f>AVERAGE(F24:F28)</f>
        <v>3.6659999999999995</v>
      </c>
      <c r="G30" s="115"/>
      <c r="H30" s="116">
        <f>AVERAGE(H24:H28)</f>
        <v>529.4840032</v>
      </c>
      <c r="I30" s="110"/>
    </row>
    <row r="31" spans="3:9" ht="3.75" customHeight="1">
      <c r="C31" s="117"/>
      <c r="D31" s="118"/>
      <c r="E31" s="118"/>
      <c r="F31" s="119"/>
      <c r="G31" s="120"/>
      <c r="H31" s="121"/>
      <c r="I31" s="122"/>
    </row>
    <row r="33" spans="3:6" ht="3.75" customHeight="1">
      <c r="C33" s="12"/>
      <c r="D33" s="13"/>
      <c r="E33" s="13"/>
      <c r="F33" s="14"/>
    </row>
    <row r="34" spans="2:6" ht="14.25">
      <c r="B34" s="2" t="s">
        <v>24</v>
      </c>
      <c r="C34" s="123" t="s">
        <v>84</v>
      </c>
      <c r="D34" s="11"/>
      <c r="E34" s="124" t="s">
        <v>9</v>
      </c>
      <c r="F34" s="125">
        <f>F30/100</f>
        <v>0.03666</v>
      </c>
    </row>
    <row r="35" spans="2:6" ht="3.75" customHeight="1">
      <c r="B35" s="2"/>
      <c r="C35" s="126"/>
      <c r="D35" s="22"/>
      <c r="E35" s="22"/>
      <c r="F35" s="127"/>
    </row>
    <row r="37" spans="3:6" ht="3.75" customHeight="1">
      <c r="C37" s="12"/>
      <c r="D37" s="13"/>
      <c r="E37" s="13"/>
      <c r="F37" s="14"/>
    </row>
    <row r="38" spans="2:7" ht="14.25">
      <c r="B38" s="2" t="s">
        <v>25</v>
      </c>
      <c r="C38" s="123" t="s">
        <v>85</v>
      </c>
      <c r="D38" s="11"/>
      <c r="E38" s="124" t="s">
        <v>9</v>
      </c>
      <c r="F38" s="128">
        <f>H30</f>
        <v>529.4840032</v>
      </c>
      <c r="G38" s="129">
        <f>_xlfn.VAR.P(F24:F28)</f>
        <v>529.4832239999998</v>
      </c>
    </row>
    <row r="39" spans="3:7" ht="14.25">
      <c r="C39" s="123" t="s">
        <v>86</v>
      </c>
      <c r="D39" s="11"/>
      <c r="E39" s="16" t="s">
        <v>9</v>
      </c>
      <c r="F39" s="125">
        <f>SQRT(F38)/100</f>
        <v>0.23010519403090401</v>
      </c>
      <c r="G39" s="129">
        <f>_xlfn.STDEV.P(F24:F28)</f>
        <v>23.010502471697567</v>
      </c>
    </row>
    <row r="40" spans="3:6" ht="3.75" customHeight="1">
      <c r="C40" s="21"/>
      <c r="D40" s="22"/>
      <c r="E40" s="22"/>
      <c r="F40" s="23"/>
    </row>
    <row r="42" ht="14.25"/>
    <row r="43" ht="14.25"/>
  </sheetData>
  <sheetProtection selectLockedCells="1" selectUnlockedCells="1"/>
  <mergeCells count="9">
    <mergeCell ref="C6:C7"/>
    <mergeCell ref="D6:D7"/>
    <mergeCell ref="E6:E7"/>
    <mergeCell ref="C20:C23"/>
    <mergeCell ref="D20:D23"/>
    <mergeCell ref="E20:E23"/>
    <mergeCell ref="F20:F23"/>
    <mergeCell ref="G20:G23"/>
    <mergeCell ref="H20:I23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4"/>
  <sheetViews>
    <sheetView zoomScale="160" zoomScaleNormal="160" workbookViewId="0" topLeftCell="A1">
      <selection activeCell="C18" sqref="C18"/>
    </sheetView>
  </sheetViews>
  <sheetFormatPr defaultColWidth="9.140625" defaultRowHeight="12.75" customHeight="1"/>
  <cols>
    <col min="1" max="2" width="2.7109375" style="1" customWidth="1"/>
    <col min="3" max="3" width="29.140625" style="1" customWidth="1"/>
    <col min="4" max="4" width="2.140625" style="1" customWidth="1"/>
    <col min="5" max="5" width="7.28125" style="1" customWidth="1"/>
    <col min="6" max="6" width="9.140625" style="1" customWidth="1"/>
    <col min="7" max="7" width="9.00390625" style="1" customWidth="1"/>
    <col min="8" max="8" width="17.7109375" style="1" customWidth="1"/>
    <col min="9" max="10" width="9.140625" style="1" customWidth="1"/>
    <col min="11" max="11" width="22.8515625" style="1" customWidth="1"/>
    <col min="12" max="16384" width="9.140625" style="1" customWidth="1"/>
  </cols>
  <sheetData>
    <row r="2" ht="12.75" customHeight="1">
      <c r="B2" s="2" t="s">
        <v>87</v>
      </c>
    </row>
    <row r="4" ht="12.75" customHeight="1">
      <c r="B4" s="1" t="s">
        <v>88</v>
      </c>
    </row>
    <row r="5" ht="12.75" customHeight="1">
      <c r="B5" s="1" t="s">
        <v>89</v>
      </c>
    </row>
    <row r="6" ht="12.75" customHeight="1">
      <c r="B6" s="1" t="s">
        <v>90</v>
      </c>
    </row>
    <row r="8" spans="3:11" ht="12.75" customHeight="1">
      <c r="C8" s="5" t="s">
        <v>91</v>
      </c>
      <c r="D8" s="5"/>
      <c r="E8" s="39">
        <v>0.076</v>
      </c>
      <c r="K8" s="130"/>
    </row>
    <row r="9" spans="3:5" ht="12.75" customHeight="1">
      <c r="C9" s="5" t="s">
        <v>92</v>
      </c>
      <c r="D9" s="5"/>
      <c r="E9" s="39">
        <v>0.035</v>
      </c>
    </row>
    <row r="10" spans="3:5" ht="12.75" customHeight="1">
      <c r="C10" s="5" t="s">
        <v>93</v>
      </c>
      <c r="D10" s="5"/>
      <c r="E10" s="131">
        <v>50</v>
      </c>
    </row>
    <row r="11" spans="3:5" ht="12.75" customHeight="1">
      <c r="C11" s="5" t="s">
        <v>5</v>
      </c>
      <c r="D11" s="5"/>
      <c r="E11" s="131">
        <v>2</v>
      </c>
    </row>
    <row r="13" ht="12.75" customHeight="1">
      <c r="B13" s="10" t="s">
        <v>7</v>
      </c>
    </row>
    <row r="15" spans="3:8" ht="3.75" customHeight="1">
      <c r="C15" s="12"/>
      <c r="D15" s="13"/>
      <c r="E15" s="13"/>
      <c r="F15" s="13"/>
      <c r="G15" s="13"/>
      <c r="H15" s="14"/>
    </row>
    <row r="16" spans="2:8" ht="12.75" customHeight="1">
      <c r="B16" s="18"/>
      <c r="C16" s="132" t="s">
        <v>94</v>
      </c>
      <c r="D16" s="16" t="s">
        <v>9</v>
      </c>
      <c r="E16" s="133">
        <f>E8+E9</f>
        <v>0.111</v>
      </c>
      <c r="F16" s="11"/>
      <c r="G16" s="11"/>
      <c r="H16" s="18"/>
    </row>
    <row r="17" spans="2:8" ht="12.75" customHeight="1">
      <c r="B17" s="18"/>
      <c r="C17" s="11"/>
      <c r="D17" s="11"/>
      <c r="E17" s="11"/>
      <c r="F17" s="11"/>
      <c r="G17" s="11"/>
      <c r="H17" s="18"/>
    </row>
    <row r="18" spans="2:8" ht="12.75" customHeight="1">
      <c r="B18" s="18"/>
      <c r="C18" s="4" t="s">
        <v>95</v>
      </c>
      <c r="D18" s="11"/>
      <c r="E18" s="11"/>
      <c r="F18" s="11"/>
      <c r="G18" s="11"/>
      <c r="H18" s="18"/>
    </row>
    <row r="19" spans="2:8" ht="12.75" customHeight="1">
      <c r="B19" s="18"/>
      <c r="C19" s="134" t="s">
        <v>96</v>
      </c>
      <c r="D19" s="11"/>
      <c r="E19" s="11"/>
      <c r="F19" s="11"/>
      <c r="G19" s="11"/>
      <c r="H19" s="18"/>
    </row>
    <row r="20" spans="2:8" ht="12.75" customHeight="1">
      <c r="B20" s="18"/>
      <c r="C20" s="4" t="s">
        <v>97</v>
      </c>
      <c r="D20" s="11"/>
      <c r="E20" s="11"/>
      <c r="F20" s="11"/>
      <c r="G20" s="11"/>
      <c r="H20" s="18"/>
    </row>
    <row r="21" spans="2:8" ht="12.75" customHeight="1">
      <c r="B21" s="18"/>
      <c r="C21" s="4" t="s">
        <v>98</v>
      </c>
      <c r="D21" s="11"/>
      <c r="E21" s="11"/>
      <c r="F21" s="11"/>
      <c r="G21" s="11"/>
      <c r="H21" s="18"/>
    </row>
    <row r="22" spans="3:8" ht="12.75" customHeight="1">
      <c r="C22" s="20"/>
      <c r="D22" s="11"/>
      <c r="E22" s="11"/>
      <c r="F22" s="11"/>
      <c r="G22" s="11"/>
      <c r="H22" s="18"/>
    </row>
    <row r="23" spans="3:8" ht="12.75" customHeight="1">
      <c r="C23" s="135" t="s">
        <v>99</v>
      </c>
      <c r="D23" s="16" t="s">
        <v>9</v>
      </c>
      <c r="E23" s="114">
        <f>(E10+E11)/(100%+E16)</f>
        <v>46.804680468046804</v>
      </c>
      <c r="F23" s="11"/>
      <c r="G23" s="11"/>
      <c r="H23" s="18"/>
    </row>
    <row r="24" spans="3:8" ht="3.75" customHeight="1">
      <c r="C24" s="21"/>
      <c r="D24" s="22"/>
      <c r="E24" s="22"/>
      <c r="F24" s="22"/>
      <c r="G24" s="22"/>
      <c r="H24" s="23"/>
    </row>
  </sheetData>
  <sheetProtection selectLockedCells="1" selectUnlockedCells="1"/>
  <mergeCells count="4">
    <mergeCell ref="C8:D8"/>
    <mergeCell ref="C9:D9"/>
    <mergeCell ref="C10:D10"/>
    <mergeCell ref="C11:D11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8"/>
  <sheetViews>
    <sheetView zoomScale="160" zoomScaleNormal="160" workbookViewId="0" topLeftCell="A1">
      <selection activeCell="D4" sqref="D4"/>
    </sheetView>
  </sheetViews>
  <sheetFormatPr defaultColWidth="9.140625" defaultRowHeight="12.75"/>
  <cols>
    <col min="1" max="2" width="2.7109375" style="0" customWidth="1"/>
    <col min="4" max="4" width="15.28125" style="0" customWidth="1"/>
    <col min="5" max="5" width="1.57421875" style="0" customWidth="1"/>
    <col min="6" max="6" width="10.421875" style="0" customWidth="1"/>
    <col min="7" max="7" width="0.85546875" style="0" customWidth="1"/>
    <col min="8" max="8" width="11.28125" style="0" customWidth="1"/>
  </cols>
  <sheetData>
    <row r="2" ht="12.75">
      <c r="B2" s="2" t="s">
        <v>100</v>
      </c>
    </row>
    <row r="4" ht="16.5">
      <c r="B4" s="4" t="s">
        <v>101</v>
      </c>
    </row>
    <row r="5" ht="14.25"/>
    <row r="7" spans="3:8" ht="12.75">
      <c r="C7" s="136"/>
      <c r="D7" s="137"/>
      <c r="E7" s="138"/>
      <c r="F7" s="139" t="s">
        <v>102</v>
      </c>
      <c r="G7" s="140"/>
      <c r="H7" s="141" t="s">
        <v>103</v>
      </c>
    </row>
    <row r="8" spans="3:8" ht="14.25">
      <c r="C8" s="142" t="s">
        <v>104</v>
      </c>
      <c r="D8" s="137"/>
      <c r="E8" s="138"/>
      <c r="F8" s="143">
        <v>8</v>
      </c>
      <c r="G8" s="144"/>
      <c r="H8" s="145">
        <v>240</v>
      </c>
    </row>
    <row r="9" spans="3:8" ht="12.75">
      <c r="C9" s="29" t="s">
        <v>105</v>
      </c>
      <c r="D9" s="146"/>
      <c r="E9" s="147"/>
      <c r="F9" s="148">
        <v>4</v>
      </c>
      <c r="G9" s="149"/>
      <c r="H9" s="150">
        <v>90</v>
      </c>
    </row>
    <row r="10" spans="3:8" ht="12.75">
      <c r="C10" s="27" t="s">
        <v>106</v>
      </c>
      <c r="D10" s="137"/>
      <c r="E10" s="138"/>
      <c r="F10" s="151">
        <v>0</v>
      </c>
      <c r="G10" s="152"/>
      <c r="H10" s="153">
        <v>0</v>
      </c>
    </row>
    <row r="11" spans="5:7" ht="12.75">
      <c r="E11" s="1"/>
      <c r="G11" s="1"/>
    </row>
    <row r="12" ht="16.5">
      <c r="B12" s="4" t="s">
        <v>107</v>
      </c>
    </row>
    <row r="13" ht="16.5">
      <c r="B13" s="4" t="s">
        <v>108</v>
      </c>
    </row>
    <row r="14" ht="14.25"/>
    <row r="16" spans="3:7" ht="12.75">
      <c r="C16" s="27" t="s">
        <v>109</v>
      </c>
      <c r="D16" s="137"/>
      <c r="E16" s="138"/>
      <c r="F16" s="154">
        <v>80</v>
      </c>
      <c r="G16" s="138"/>
    </row>
    <row r="17" spans="7:9" ht="12.75">
      <c r="G17" s="146"/>
      <c r="I17" s="146"/>
    </row>
    <row r="18" ht="12.75">
      <c r="B18" s="10" t="s">
        <v>7</v>
      </c>
    </row>
    <row r="20" spans="3:7" ht="3.75" customHeight="1">
      <c r="C20" s="155"/>
      <c r="D20" s="71"/>
      <c r="E20" s="71"/>
      <c r="F20" s="71"/>
      <c r="G20" s="72"/>
    </row>
    <row r="21" spans="3:8" ht="14.25">
      <c r="C21" s="142" t="s">
        <v>104</v>
      </c>
      <c r="D21" s="146"/>
      <c r="E21" s="156" t="s">
        <v>9</v>
      </c>
      <c r="F21" s="157">
        <f>(F8+(H8-F16))/F16</f>
        <v>2.1</v>
      </c>
      <c r="G21" s="147"/>
      <c r="H21" s="158">
        <f aca="true" t="shared" si="0" ref="H21:H23">(F8+H8)/80-1</f>
        <v>2.1</v>
      </c>
    </row>
    <row r="22" spans="3:8" ht="14.25">
      <c r="C22" s="29" t="s">
        <v>105</v>
      </c>
      <c r="D22" s="146"/>
      <c r="E22" s="156" t="s">
        <v>9</v>
      </c>
      <c r="F22" s="157">
        <f>(F9+(H9-F16))/F16</f>
        <v>0.175</v>
      </c>
      <c r="G22" s="147"/>
      <c r="H22" s="158">
        <f t="shared" si="0"/>
        <v>0.17500000000000004</v>
      </c>
    </row>
    <row r="23" spans="3:9" ht="14.25">
      <c r="C23" s="27" t="s">
        <v>106</v>
      </c>
      <c r="D23" s="146"/>
      <c r="E23" s="156" t="s">
        <v>9</v>
      </c>
      <c r="F23" s="157">
        <f>(F10+(H10-F16))/F16</f>
        <v>-1</v>
      </c>
      <c r="G23" s="147"/>
      <c r="H23" s="158">
        <f t="shared" si="0"/>
        <v>-1</v>
      </c>
      <c r="I23" s="159"/>
    </row>
    <row r="24" spans="3:10" ht="12.75">
      <c r="C24" s="15" t="s">
        <v>110</v>
      </c>
      <c r="D24" s="146"/>
      <c r="E24" s="156" t="s">
        <v>9</v>
      </c>
      <c r="F24" s="34">
        <f>(F21+F22+F23)/3</f>
        <v>0.425</v>
      </c>
      <c r="G24" s="147"/>
      <c r="J24" s="146"/>
    </row>
    <row r="25" spans="3:7" ht="12.75">
      <c r="C25" s="29"/>
      <c r="D25" s="146"/>
      <c r="E25" s="156"/>
      <c r="F25" s="36"/>
      <c r="G25" s="147"/>
    </row>
    <row r="26" spans="3:8" ht="14.25">
      <c r="C26" s="29" t="s">
        <v>85</v>
      </c>
      <c r="D26" s="146"/>
      <c r="E26" s="156" t="s">
        <v>9</v>
      </c>
      <c r="F26" s="160">
        <f>(1/3)*(((F21*100)-(F24*100)))^2+(1/3)*((((F22*100)-(F24*100))))^2+(1/3)*((((F23*100)-(F24*100)))^2)</f>
        <v>16329.166666666666</v>
      </c>
      <c r="G26" s="147"/>
      <c r="H26" s="158">
        <f>_xlfn.VAR.P(F21:F23)</f>
        <v>1.6329166666666666</v>
      </c>
    </row>
    <row r="27" spans="3:8" ht="14.25">
      <c r="C27" s="15" t="s">
        <v>111</v>
      </c>
      <c r="D27" s="146"/>
      <c r="E27" s="156" t="s">
        <v>9</v>
      </c>
      <c r="F27" s="34">
        <f>SQRT(F26)/100</f>
        <v>1.2778562777819211</v>
      </c>
      <c r="G27" s="147"/>
      <c r="H27" s="158">
        <f>_xlfn.STDEV.P(F21:F23)</f>
        <v>1.2778562777819211</v>
      </c>
    </row>
    <row r="28" spans="3:7" ht="3.75" customHeight="1">
      <c r="C28" s="161"/>
      <c r="D28" s="73"/>
      <c r="E28" s="73"/>
      <c r="F28" s="73"/>
      <c r="G28" s="74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Sneha</dc:creator>
  <cp:keywords/>
  <dc:description/>
  <cp:lastModifiedBy/>
  <cp:lastPrinted>2011-10-03T12:59:14Z</cp:lastPrinted>
  <dcterms:created xsi:type="dcterms:W3CDTF">2011-09-30T05:04:49Z</dcterms:created>
  <dcterms:modified xsi:type="dcterms:W3CDTF">2022-06-16T11:03:16Z</dcterms:modified>
  <cp:category/>
  <cp:version/>
  <cp:contentType/>
  <cp:contentStatus/>
  <cp:revision>30</cp:revision>
</cp:coreProperties>
</file>